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 codeName="ThisWorkbook"/>
  <mc:AlternateContent xmlns:mc="http://schemas.openxmlformats.org/markup-compatibility/2006">
    <mc:Choice Requires="x15">
      <x15ac:absPath xmlns:x15ac="http://schemas.microsoft.com/office/spreadsheetml/2010/11/ac" url="D:\yy\work\01-SVN\01-DXYD-2016\12-培训业务\04-部门项目\11-主题分享交流\20200416-项目进度数据分析\"/>
    </mc:Choice>
  </mc:AlternateContent>
  <xr:revisionPtr revIDLastSave="0" documentId="13_ncr:1_{CF0C5854-17C3-4409-9EF9-17A777F99196}" xr6:coauthVersionLast="45" xr6:coauthVersionMax="45" xr10:uidLastSave="{00000000-0000-0000-0000-000000000000}"/>
  <bookViews>
    <workbookView xWindow="1860" yWindow="-120" windowWidth="18750" windowHeight="11760" tabRatio="582" xr2:uid="{00000000-000D-0000-FFFF-FFFF00000000}"/>
  </bookViews>
  <sheets>
    <sheet name="修订记录" sheetId="10" r:id="rId1"/>
    <sheet name="基本信息" sheetId="1" r:id="rId2"/>
    <sheet name="进度跟踪" sheetId="2" r:id="rId3"/>
    <sheet name="进度分析" sheetId="3" r:id="rId4"/>
    <sheet name="操作手册" sheetId="7" r:id="rId5"/>
  </sheets>
  <definedNames>
    <definedName name="_xlnm._FilterDatabase" localSheetId="2" hidden="1">进度跟踪!$C$2:$V$18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3" i="3" l="1"/>
  <c r="F10" i="3"/>
  <c r="J3" i="2"/>
  <c r="L3" i="2"/>
  <c r="N3" i="2"/>
  <c r="P3" i="2"/>
  <c r="R3" i="2"/>
  <c r="T3" i="2"/>
  <c r="J4" i="2"/>
  <c r="L4" i="2"/>
  <c r="N4" i="2"/>
  <c r="P4" i="2"/>
  <c r="R4" i="2"/>
  <c r="T4" i="2"/>
  <c r="J5" i="2"/>
  <c r="L5" i="2"/>
  <c r="N5" i="2"/>
  <c r="P5" i="2"/>
  <c r="R5" i="2"/>
  <c r="T5" i="2"/>
  <c r="J6" i="2"/>
  <c r="L6" i="2"/>
  <c r="N6" i="2"/>
  <c r="P6" i="2"/>
  <c r="R6" i="2"/>
  <c r="T6" i="2"/>
  <c r="J7" i="2"/>
  <c r="L7" i="2"/>
  <c r="N7" i="2"/>
  <c r="P7" i="2"/>
  <c r="R7" i="2"/>
  <c r="T7" i="2"/>
  <c r="J8" i="2"/>
  <c r="L8" i="2"/>
  <c r="N8" i="2"/>
  <c r="P8" i="2"/>
  <c r="R8" i="2"/>
  <c r="T8" i="2"/>
  <c r="J9" i="2"/>
  <c r="L9" i="2"/>
  <c r="N9" i="2"/>
  <c r="P9" i="2"/>
  <c r="R9" i="2"/>
  <c r="T9" i="2"/>
  <c r="J10" i="2"/>
  <c r="L10" i="2"/>
  <c r="N10" i="2"/>
  <c r="P10" i="2"/>
  <c r="R10" i="2"/>
  <c r="T10" i="2"/>
  <c r="J11" i="2"/>
  <c r="L11" i="2"/>
  <c r="N11" i="2"/>
  <c r="P11" i="2"/>
  <c r="R11" i="2"/>
  <c r="T11" i="2"/>
  <c r="J12" i="2"/>
  <c r="L12" i="2"/>
  <c r="N12" i="2"/>
  <c r="P12" i="2"/>
  <c r="R12" i="2"/>
  <c r="T12" i="2"/>
  <c r="J13" i="2"/>
  <c r="L13" i="2"/>
  <c r="N13" i="2"/>
  <c r="P13" i="2"/>
  <c r="R13" i="2"/>
  <c r="T13" i="2"/>
  <c r="J14" i="2"/>
  <c r="L14" i="2"/>
  <c r="N14" i="2"/>
  <c r="P14" i="2"/>
  <c r="R14" i="2"/>
  <c r="T14" i="2"/>
  <c r="J15" i="2"/>
  <c r="L15" i="2"/>
  <c r="N15" i="2"/>
  <c r="P15" i="2"/>
  <c r="R15" i="2"/>
  <c r="T15" i="2"/>
  <c r="J16" i="2"/>
  <c r="L16" i="2"/>
  <c r="N16" i="2"/>
  <c r="P16" i="2"/>
  <c r="R16" i="2"/>
  <c r="T16" i="2"/>
  <c r="J17" i="2"/>
  <c r="L17" i="2"/>
  <c r="N17" i="2"/>
  <c r="P17" i="2"/>
  <c r="R17" i="2"/>
  <c r="T17" i="2"/>
  <c r="A2" i="3" l="1"/>
  <c r="C3" i="3" l="1"/>
  <c r="B3" i="3" s="1"/>
  <c r="F9" i="3"/>
  <c r="F8" i="3"/>
  <c r="F7" i="3"/>
  <c r="F6" i="3"/>
  <c r="F5" i="3"/>
  <c r="F4" i="3"/>
  <c r="F3" i="3"/>
  <c r="A2" i="2" l="1"/>
  <c r="B6" i="2" s="1"/>
  <c r="B33" i="1"/>
  <c r="A31" i="1"/>
  <c r="B36" i="1" s="1"/>
  <c r="A23" i="1"/>
  <c r="B26" i="1" s="1"/>
  <c r="B20" i="1"/>
  <c r="B19" i="1"/>
  <c r="A15" i="1"/>
  <c r="B18" i="1" s="1"/>
  <c r="C9" i="1"/>
  <c r="C12" i="1" s="1"/>
  <c r="B16" i="1" l="1"/>
  <c r="B17" i="1"/>
  <c r="B8" i="3"/>
  <c r="B5" i="3"/>
  <c r="B4" i="3"/>
  <c r="B10" i="3"/>
  <c r="B12" i="3"/>
  <c r="B9" i="3"/>
  <c r="B7" i="3"/>
  <c r="B14" i="3"/>
  <c r="B16" i="3"/>
  <c r="B13" i="3"/>
  <c r="B19" i="3"/>
  <c r="B18" i="3"/>
  <c r="B15" i="3"/>
  <c r="B17" i="3"/>
  <c r="B6" i="3"/>
  <c r="B11" i="3"/>
  <c r="B17" i="2"/>
  <c r="B9" i="2"/>
  <c r="B16" i="2"/>
  <c r="B8" i="2"/>
  <c r="B13" i="2"/>
  <c r="B5" i="2"/>
  <c r="B12" i="2"/>
  <c r="B4" i="2"/>
  <c r="B15" i="2"/>
  <c r="B11" i="2"/>
  <c r="B7" i="2"/>
  <c r="B3" i="2"/>
  <c r="B14" i="2"/>
  <c r="B10" i="2"/>
  <c r="B27" i="1"/>
  <c r="B24" i="1"/>
  <c r="B28" i="1"/>
  <c r="B34" i="1"/>
  <c r="B25" i="1"/>
  <c r="B35" i="1"/>
  <c r="B32" i="1"/>
  <c r="H2" i="2" l="1"/>
  <c r="B19" i="2"/>
  <c r="V17" i="2" l="1"/>
  <c r="V16" i="2"/>
  <c r="V15" i="2"/>
  <c r="V14" i="2"/>
  <c r="V13" i="2"/>
  <c r="V12" i="2"/>
  <c r="V11" i="2"/>
  <c r="V10" i="2"/>
  <c r="V9" i="2"/>
  <c r="V8" i="2"/>
  <c r="V7" i="2"/>
  <c r="V6" i="2"/>
  <c r="V5" i="2"/>
  <c r="V4" i="2"/>
  <c r="V3" i="2"/>
  <c r="E18" i="2"/>
  <c r="S18" i="2" s="1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G18" i="2" l="1"/>
  <c r="K18" i="2"/>
  <c r="M18" i="2"/>
  <c r="O18" i="2"/>
  <c r="U18" i="2"/>
  <c r="I18" i="2"/>
  <c r="Q18" i="2"/>
  <c r="E4" i="3" l="1"/>
  <c r="C4" i="3"/>
  <c r="D4" i="3" l="1"/>
  <c r="J2" i="2"/>
  <c r="C5" i="3"/>
  <c r="L2" i="2" l="1"/>
  <c r="C6" i="3"/>
  <c r="D5" i="3"/>
  <c r="D6" i="3" l="1"/>
  <c r="N2" i="2"/>
  <c r="C7" i="3"/>
  <c r="E5" i="3" l="1"/>
  <c r="P2" i="2"/>
  <c r="C8" i="3"/>
  <c r="D7" i="3"/>
  <c r="E6" i="3" l="1"/>
  <c r="D8" i="3"/>
  <c r="C9" i="3"/>
  <c r="T2" i="2" s="1"/>
  <c r="R2" i="2"/>
  <c r="E7" i="3" l="1"/>
  <c r="C10" i="3"/>
  <c r="V2" i="2" s="1"/>
  <c r="E10" i="3" s="1"/>
  <c r="D9" i="3"/>
  <c r="E8" i="3" l="1"/>
  <c r="E9" i="3"/>
  <c r="D10" i="3"/>
  <c r="C11" i="3"/>
  <c r="K25" i="3" l="1"/>
  <c r="J25" i="3"/>
  <c r="I25" i="3"/>
  <c r="L25" i="3"/>
  <c r="D11" i="3"/>
  <c r="C12" i="3"/>
  <c r="J28" i="3" l="1"/>
  <c r="J27" i="3"/>
  <c r="K28" i="3"/>
  <c r="K27" i="3"/>
  <c r="D12" i="3"/>
  <c r="C13" i="3"/>
  <c r="J29" i="3" l="1"/>
  <c r="I31" i="3" s="1"/>
  <c r="D13" i="3"/>
  <c r="C14" i="3"/>
  <c r="C15" i="3" l="1"/>
  <c r="D14" i="3"/>
  <c r="C16" i="3" l="1"/>
  <c r="D15" i="3"/>
  <c r="C17" i="3" l="1"/>
  <c r="D16" i="3"/>
  <c r="C18" i="3" l="1"/>
  <c r="D17" i="3"/>
  <c r="C19" i="3" l="1"/>
  <c r="D19" i="3" s="1"/>
  <c r="D18" i="3"/>
</calcChain>
</file>

<file path=xl/sharedStrings.xml><?xml version="1.0" encoding="utf-8"?>
<sst xmlns="http://schemas.openxmlformats.org/spreadsheetml/2006/main" count="350" uniqueCount="203">
  <si>
    <t>项目时间</t>
  </si>
  <si>
    <t>基本定义</t>
  </si>
  <si>
    <t>交付物类别</t>
  </si>
  <si>
    <t>交付物状态</t>
  </si>
  <si>
    <t>对应进度</t>
  </si>
  <si>
    <t>项目开始</t>
  </si>
  <si>
    <t>需求</t>
  </si>
  <si>
    <t>项目结束</t>
  </si>
  <si>
    <t>项目工期</t>
  </si>
  <si>
    <t>交付</t>
  </si>
  <si>
    <t>确认</t>
  </si>
  <si>
    <t>类别</t>
  </si>
  <si>
    <t>交付物名称</t>
  </si>
  <si>
    <t>权重</t>
  </si>
  <si>
    <t>-</t>
  </si>
  <si>
    <t>复制最后2列，在此列前插入</t>
  </si>
  <si>
    <t>在此之前插入新一行</t>
  </si>
  <si>
    <t>EV%</t>
  </si>
  <si>
    <t>PV%</t>
  </si>
  <si>
    <t>AC%</t>
  </si>
  <si>
    <t>检查次数</t>
  </si>
  <si>
    <t>检查日期</t>
  </si>
  <si>
    <t>检查周期</t>
    <phoneticPr fontId="21" type="noConversion"/>
  </si>
  <si>
    <t>序号</t>
    <phoneticPr fontId="20" type="noConversion"/>
  </si>
  <si>
    <t>负责人</t>
    <phoneticPr fontId="20" type="noConversion"/>
  </si>
  <si>
    <t>负责人</t>
    <phoneticPr fontId="21" type="noConversion"/>
  </si>
  <si>
    <t>序号</t>
    <phoneticPr fontId="21" type="noConversion"/>
  </si>
  <si>
    <t>一、项目基本信息</t>
    <phoneticPr fontId="21" type="noConversion"/>
  </si>
  <si>
    <t>二、交付物类型</t>
    <phoneticPr fontId="21" type="noConversion"/>
  </si>
  <si>
    <t>三、交付物状态</t>
    <phoneticPr fontId="21" type="noConversion"/>
  </si>
  <si>
    <t>四、负责人名单</t>
    <phoneticPr fontId="21" type="noConversion"/>
  </si>
  <si>
    <t>张三</t>
    <phoneticPr fontId="21" type="noConversion"/>
  </si>
  <si>
    <t>陈七</t>
    <phoneticPr fontId="21" type="noConversion"/>
  </si>
  <si>
    <t>李四</t>
    <phoneticPr fontId="21" type="noConversion"/>
  </si>
  <si>
    <t>王五</t>
    <phoneticPr fontId="21" type="noConversion"/>
  </si>
  <si>
    <t>朱六</t>
    <phoneticPr fontId="21" type="noConversion"/>
  </si>
  <si>
    <t>项目预算</t>
    <phoneticPr fontId="21" type="noConversion"/>
  </si>
  <si>
    <t>说明</t>
    <phoneticPr fontId="21" type="noConversion"/>
  </si>
  <si>
    <r>
      <rPr>
        <b/>
        <sz val="11"/>
        <color rgb="FFFF0000"/>
        <rFont val="宋体"/>
        <family val="3"/>
        <charset val="134"/>
        <scheme val="minor"/>
      </rPr>
      <t>项目管理实践书籍编制</t>
    </r>
    <r>
      <rPr>
        <b/>
        <sz val="11"/>
        <color theme="1"/>
        <rFont val="宋体"/>
        <family val="3"/>
        <charset val="134"/>
        <scheme val="minor"/>
      </rPr>
      <t>项目</t>
    </r>
    <phoneticPr fontId="21" type="noConversion"/>
  </si>
  <si>
    <t>组建5人的项目管理专家团队，编写一本项目管理实践落地的书籍，指导项目管理人员进行实际的项目管理工作。</t>
    <phoneticPr fontId="21" type="noConversion"/>
  </si>
  <si>
    <t>启动会议的时间</t>
    <phoneticPr fontId="20" type="noConversion"/>
  </si>
  <si>
    <t>书籍最终稿的提交时间</t>
    <phoneticPr fontId="20" type="noConversion"/>
  </si>
  <si>
    <t>力争100天完成书籍编写，12天作为预算，防止意外</t>
    <phoneticPr fontId="20" type="noConversion"/>
  </si>
  <si>
    <t>每周五，检查工作，汇总进展和成本</t>
    <phoneticPr fontId="20" type="noConversion"/>
  </si>
  <si>
    <t>案例编写</t>
    <phoneticPr fontId="20" type="noConversion"/>
  </si>
  <si>
    <t>章节编写</t>
    <phoneticPr fontId="20" type="noConversion"/>
  </si>
  <si>
    <t>引用资料</t>
    <phoneticPr fontId="20" type="noConversion"/>
  </si>
  <si>
    <t>书籍主要章节编写</t>
    <phoneticPr fontId="20" type="noConversion"/>
  </si>
  <si>
    <t>项目预算主要是人力成本，300元/人天*112天*5人</t>
    <phoneticPr fontId="20" type="noConversion"/>
  </si>
  <si>
    <t>参考案例的编写</t>
    <phoneticPr fontId="20" type="noConversion"/>
  </si>
  <si>
    <t>引用资料的查找和整理</t>
    <phoneticPr fontId="20" type="noConversion"/>
  </si>
  <si>
    <t>设计</t>
    <phoneticPr fontId="20" type="noConversion"/>
  </si>
  <si>
    <t xml:space="preserve">未开始，进展标识为0 </t>
    <phoneticPr fontId="20" type="noConversion"/>
  </si>
  <si>
    <t>需求讨论，完成后标识为10%</t>
    <phoneticPr fontId="20" type="noConversion"/>
  </si>
  <si>
    <t>内容设计，完成后标识为20%</t>
    <phoneticPr fontId="20" type="noConversion"/>
  </si>
  <si>
    <t>内容交付，完成后标识为60%</t>
    <phoneticPr fontId="20" type="noConversion"/>
  </si>
  <si>
    <t>内容检查和确认，完成后标识为100%</t>
    <phoneticPr fontId="20" type="noConversion"/>
  </si>
  <si>
    <t>项目专家，负责进展方面章节编写</t>
    <phoneticPr fontId="20" type="noConversion"/>
  </si>
  <si>
    <t>项目负责人，负责综合章节编写</t>
    <phoneticPr fontId="20" type="noConversion"/>
  </si>
  <si>
    <t>项目专家，负责成本方面章节编写</t>
    <phoneticPr fontId="20" type="noConversion"/>
  </si>
  <si>
    <t>项目专家，负责质量方面章节编写</t>
    <phoneticPr fontId="20" type="noConversion"/>
  </si>
  <si>
    <t>项目专家，负责风险方面章节编写</t>
    <phoneticPr fontId="20" type="noConversion"/>
  </si>
  <si>
    <t>1、功能</t>
    <phoneticPr fontId="23" type="noConversion"/>
  </si>
  <si>
    <t>2、操作步骤</t>
    <phoneticPr fontId="23" type="noConversion"/>
  </si>
  <si>
    <t>章节编写</t>
  </si>
  <si>
    <t>概述章节</t>
    <phoneticPr fontId="20" type="noConversion"/>
  </si>
  <si>
    <t>项目整体管理章节</t>
    <phoneticPr fontId="20" type="noConversion"/>
  </si>
  <si>
    <t>项目进展规划章节</t>
    <phoneticPr fontId="20" type="noConversion"/>
  </si>
  <si>
    <t>项目进展监控章节</t>
    <phoneticPr fontId="20" type="noConversion"/>
  </si>
  <si>
    <t>项目成本规划章节</t>
    <phoneticPr fontId="20" type="noConversion"/>
  </si>
  <si>
    <t>项目成本监控章节</t>
    <phoneticPr fontId="20" type="noConversion"/>
  </si>
  <si>
    <t>项目质量规划章节</t>
    <phoneticPr fontId="20" type="noConversion"/>
  </si>
  <si>
    <t>项目质量监控章节</t>
    <phoneticPr fontId="20" type="noConversion"/>
  </si>
  <si>
    <t>项目风险规划章节</t>
    <phoneticPr fontId="20" type="noConversion"/>
  </si>
  <si>
    <t>项目风险监控章节</t>
    <phoneticPr fontId="20" type="noConversion"/>
  </si>
  <si>
    <t>项目进展案例</t>
    <phoneticPr fontId="20" type="noConversion"/>
  </si>
  <si>
    <t>项目成本案例</t>
    <phoneticPr fontId="20" type="noConversion"/>
  </si>
  <si>
    <t>项目质量案例</t>
    <phoneticPr fontId="20" type="noConversion"/>
  </si>
  <si>
    <t>项目风险案例</t>
    <phoneticPr fontId="20" type="noConversion"/>
  </si>
  <si>
    <t>项目挣值方法引用</t>
    <phoneticPr fontId="20" type="noConversion"/>
  </si>
  <si>
    <t>案例编写</t>
  </si>
  <si>
    <t>引用资料</t>
  </si>
  <si>
    <t>项目
实际成本</t>
  </si>
  <si>
    <t>设计</t>
  </si>
  <si>
    <t>一、目的</t>
    <phoneticPr fontId="20" type="noConversion"/>
  </si>
  <si>
    <t>二、作用</t>
    <phoneticPr fontId="20" type="noConversion"/>
  </si>
  <si>
    <t>1）进行项目的整体规划，包括项目进度、成本、交付物和负责人。</t>
    <phoneticPr fontId="23" type="noConversion"/>
  </si>
  <si>
    <t>3、注意事宜</t>
    <phoneticPr fontId="23" type="noConversion"/>
  </si>
  <si>
    <t>1、功能</t>
    <phoneticPr fontId="23" type="noConversion"/>
  </si>
  <si>
    <t>1）确认项目交付物的进展状态，根据项目交付物状态，汇总得知整体项目的进展状态。</t>
    <phoneticPr fontId="23" type="noConversion"/>
  </si>
  <si>
    <t>2）汇总数据得到项目挣值的图形，了解项目实际的进展及当前状态，采取措施保证项目目标达成。</t>
    <phoneticPr fontId="23" type="noConversion"/>
  </si>
  <si>
    <t>2、操作步骤</t>
    <phoneticPr fontId="23" type="noConversion"/>
  </si>
  <si>
    <t>3、注意事宜</t>
    <phoneticPr fontId="23" type="noConversion"/>
  </si>
  <si>
    <t>张三</t>
    <phoneticPr fontId="20" type="noConversion"/>
  </si>
  <si>
    <t>李四</t>
    <phoneticPr fontId="20" type="noConversion"/>
  </si>
  <si>
    <t>李四</t>
    <phoneticPr fontId="20" type="noConversion"/>
  </si>
  <si>
    <t>王五</t>
    <phoneticPr fontId="20" type="noConversion"/>
  </si>
  <si>
    <t>王五</t>
    <phoneticPr fontId="20" type="noConversion"/>
  </si>
  <si>
    <t>朱六</t>
    <phoneticPr fontId="20" type="noConversion"/>
  </si>
  <si>
    <t>朱六</t>
    <phoneticPr fontId="20" type="noConversion"/>
  </si>
  <si>
    <t>陈七</t>
    <phoneticPr fontId="20" type="noConversion"/>
  </si>
  <si>
    <t>项目进度分析</t>
    <phoneticPr fontId="21" type="noConversion"/>
  </si>
  <si>
    <t>将持续17周</t>
    <phoneticPr fontId="20" type="noConversion"/>
  </si>
  <si>
    <t>项目数据</t>
    <phoneticPr fontId="20" type="noConversion"/>
  </si>
  <si>
    <t>进度</t>
    <phoneticPr fontId="20" type="noConversion"/>
  </si>
  <si>
    <t>EV&gt;PV</t>
    <phoneticPr fontId="20" type="noConversion"/>
  </si>
  <si>
    <t>EV&lt;PV</t>
    <phoneticPr fontId="20" type="noConversion"/>
  </si>
  <si>
    <t>成本</t>
    <phoneticPr fontId="20" type="noConversion"/>
  </si>
  <si>
    <t>EV&gt;AC</t>
    <phoneticPr fontId="20" type="noConversion"/>
  </si>
  <si>
    <t>EV&lt;AC</t>
    <phoneticPr fontId="20" type="noConversion"/>
  </si>
  <si>
    <t>EV=AC</t>
    <phoneticPr fontId="20" type="noConversion"/>
  </si>
  <si>
    <t>进度延迟
成本结余</t>
    <phoneticPr fontId="20" type="noConversion"/>
  </si>
  <si>
    <t>进度提前
成本结余</t>
    <phoneticPr fontId="20" type="noConversion"/>
  </si>
  <si>
    <t>进度正常
成本结余</t>
    <phoneticPr fontId="20" type="noConversion"/>
  </si>
  <si>
    <t>进度提前
成本正常</t>
  </si>
  <si>
    <t>进度正常
成本正常</t>
  </si>
  <si>
    <t>进度延迟
成本正常</t>
  </si>
  <si>
    <t>进度延迟
成本超支</t>
  </si>
  <si>
    <t>EV=PV</t>
    <phoneticPr fontId="20" type="noConversion"/>
  </si>
  <si>
    <t>项目进度跟踪</t>
    <phoneticPr fontId="21" type="noConversion"/>
  </si>
  <si>
    <t>在此之前插入新一行，增加检查周期</t>
    <phoneticPr fontId="21" type="noConversion"/>
  </si>
  <si>
    <t>检查周数</t>
    <phoneticPr fontId="21" type="noConversion"/>
  </si>
  <si>
    <t>项目维度</t>
    <phoneticPr fontId="21" type="noConversion"/>
  </si>
  <si>
    <t>状态</t>
    <phoneticPr fontId="21" type="noConversion"/>
  </si>
  <si>
    <t>进度</t>
    <phoneticPr fontId="21" type="noConversion"/>
  </si>
  <si>
    <t>成本</t>
    <phoneticPr fontId="21" type="noConversion"/>
  </si>
  <si>
    <t>项目</t>
    <phoneticPr fontId="21" type="noConversion"/>
  </si>
  <si>
    <t>项目状态分析</t>
    <phoneticPr fontId="21" type="noConversion"/>
  </si>
  <si>
    <t>项目状态总结</t>
    <phoneticPr fontId="21" type="noConversion"/>
  </si>
  <si>
    <t>三、名词解释</t>
    <phoneticPr fontId="21" type="noConversion"/>
  </si>
  <si>
    <t>四、项目规划阶段</t>
    <phoneticPr fontId="20" type="noConversion"/>
  </si>
  <si>
    <t>五、项目实施阶段</t>
    <phoneticPr fontId="20" type="noConversion"/>
  </si>
  <si>
    <t>项目名称:</t>
  </si>
  <si>
    <t>日期:</t>
  </si>
  <si>
    <t>V1.00</t>
    <phoneticPr fontId="36" type="noConversion"/>
  </si>
  <si>
    <t>编写人:</t>
  </si>
  <si>
    <t>所有者:</t>
    <phoneticPr fontId="36" type="noConversion"/>
  </si>
  <si>
    <t>客户:</t>
    <phoneticPr fontId="36" type="noConversion"/>
  </si>
  <si>
    <t>项目进度数据分析模板</t>
    <phoneticPr fontId="36" type="noConversion"/>
  </si>
  <si>
    <t>项目管理实践者</t>
    <phoneticPr fontId="36" type="noConversion"/>
  </si>
  <si>
    <t>版本:</t>
    <phoneticPr fontId="20" type="noConversion"/>
  </si>
  <si>
    <t>项目进度成本状态表</t>
    <phoneticPr fontId="20" type="noConversion"/>
  </si>
  <si>
    <t>偏差</t>
    <phoneticPr fontId="21" type="noConversion"/>
  </si>
  <si>
    <r>
      <t>1、</t>
    </r>
    <r>
      <rPr>
        <b/>
        <sz val="11"/>
        <color theme="1"/>
        <rFont val="微软雅黑"/>
        <family val="2"/>
        <charset val="134"/>
      </rPr>
      <t>编制项目基本信息</t>
    </r>
    <r>
      <rPr>
        <sz val="11"/>
        <color theme="1"/>
        <rFont val="微软雅黑"/>
        <family val="2"/>
        <charset val="134"/>
      </rPr>
      <t>，包括：项目的计划开始和结束日期，项目总预算，用于项目进度和成本的监督。</t>
    </r>
    <phoneticPr fontId="20" type="noConversion"/>
  </si>
  <si>
    <r>
      <t>2、</t>
    </r>
    <r>
      <rPr>
        <b/>
        <sz val="11"/>
        <color theme="1"/>
        <rFont val="微软雅黑"/>
        <family val="2"/>
        <charset val="134"/>
      </rPr>
      <t>记录项目进度成本</t>
    </r>
    <r>
      <rPr>
        <sz val="11"/>
        <color theme="1"/>
        <rFont val="微软雅黑"/>
        <family val="2"/>
        <charset val="134"/>
      </rPr>
      <t>，根据项目的实际进展和成本，进行详细记录。</t>
    </r>
    <phoneticPr fontId="20" type="noConversion"/>
  </si>
  <si>
    <r>
      <t>3、</t>
    </r>
    <r>
      <rPr>
        <b/>
        <sz val="11"/>
        <color theme="1"/>
        <rFont val="微软雅黑"/>
        <family val="2"/>
        <charset val="134"/>
      </rPr>
      <t>图示项目当前状态</t>
    </r>
    <r>
      <rPr>
        <sz val="11"/>
        <color theme="1"/>
        <rFont val="微软雅黑"/>
        <family val="2"/>
        <charset val="134"/>
      </rPr>
      <t>，自动生成项目进展和成本的图形，了解项目当前状态，方便可视化管理，提高监督效率。</t>
    </r>
    <phoneticPr fontId="20" type="noConversion"/>
  </si>
  <si>
    <r>
      <t>2）</t>
    </r>
    <r>
      <rPr>
        <b/>
        <sz val="11"/>
        <color theme="1"/>
        <rFont val="微软雅黑"/>
        <family val="2"/>
        <charset val="134"/>
      </rPr>
      <t>规划项目基本信息</t>
    </r>
    <r>
      <rPr>
        <sz val="11"/>
        <color theme="1"/>
        <rFont val="微软雅黑"/>
        <family val="2"/>
        <charset val="134"/>
      </rPr>
      <t>，填写项目开始和结束日期、总预算及检查周期。</t>
    </r>
    <phoneticPr fontId="20" type="noConversion"/>
  </si>
  <si>
    <r>
      <t>4）</t>
    </r>
    <r>
      <rPr>
        <b/>
        <sz val="11"/>
        <color theme="1"/>
        <rFont val="微软雅黑"/>
        <family val="2"/>
        <charset val="134"/>
      </rPr>
      <t>整理项目人员名单</t>
    </r>
    <r>
      <rPr>
        <sz val="11"/>
        <color theme="1"/>
        <rFont val="微软雅黑"/>
        <family val="2"/>
        <charset val="134"/>
      </rPr>
      <t>，把参与项目的主要人员名单及职责整理成表格，方便查看。</t>
    </r>
    <phoneticPr fontId="20" type="noConversion"/>
  </si>
  <si>
    <r>
      <t>5）</t>
    </r>
    <r>
      <rPr>
        <b/>
        <sz val="11"/>
        <color theme="1"/>
        <rFont val="微软雅黑"/>
        <family val="2"/>
        <charset val="134"/>
      </rPr>
      <t>分配项目交付物</t>
    </r>
    <r>
      <rPr>
        <sz val="11"/>
        <color theme="1"/>
        <rFont val="微软雅黑"/>
        <family val="2"/>
        <charset val="134"/>
      </rPr>
      <t>，把项目中主要成果分配给项目负责人，根据难度进行权重打分。</t>
    </r>
    <phoneticPr fontId="20" type="noConversion"/>
  </si>
  <si>
    <r>
      <t>6）</t>
    </r>
    <r>
      <rPr>
        <b/>
        <sz val="11"/>
        <color theme="1"/>
        <rFont val="微软雅黑"/>
        <family val="2"/>
        <charset val="134"/>
      </rPr>
      <t>计划值推算</t>
    </r>
    <r>
      <rPr>
        <sz val="11"/>
        <color theme="1"/>
        <rFont val="微软雅黑"/>
        <family val="2"/>
        <charset val="134"/>
      </rPr>
      <t>，假设PV%曲线线性（直接用时间进度代替）。</t>
    </r>
    <phoneticPr fontId="23" type="noConversion"/>
  </si>
  <si>
    <r>
      <t>1）</t>
    </r>
    <r>
      <rPr>
        <b/>
        <sz val="11"/>
        <color theme="1"/>
        <rFont val="微软雅黑"/>
        <family val="2"/>
        <charset val="134"/>
      </rPr>
      <t>必填内容</t>
    </r>
    <r>
      <rPr>
        <sz val="11"/>
        <color theme="1"/>
        <rFont val="微软雅黑"/>
        <family val="2"/>
        <charset val="134"/>
      </rPr>
      <t>，表格中蓝色单元格为必填的手工输入项，其它单元格为有公式自动填写或选择填写内容。</t>
    </r>
    <phoneticPr fontId="23" type="noConversion"/>
  </si>
  <si>
    <r>
      <t>3）</t>
    </r>
    <r>
      <rPr>
        <b/>
        <sz val="11"/>
        <color theme="1"/>
        <rFont val="微软雅黑"/>
        <family val="2"/>
        <charset val="134"/>
      </rPr>
      <t>项目进度分析</t>
    </r>
    <r>
      <rPr>
        <sz val="11"/>
        <color theme="1"/>
        <rFont val="微软雅黑"/>
        <family val="2"/>
        <charset val="134"/>
      </rPr>
      <t>，根据项目挣值图形自动判断出项目的当前进展和成本状态，了解项目状况。</t>
    </r>
    <phoneticPr fontId="20" type="noConversion"/>
  </si>
  <si>
    <r>
      <t>4）</t>
    </r>
    <r>
      <rPr>
        <b/>
        <sz val="11"/>
        <color theme="1"/>
        <rFont val="微软雅黑"/>
        <family val="2"/>
        <charset val="134"/>
      </rPr>
      <t>循环计算项目实际进展和成本</t>
    </r>
    <r>
      <rPr>
        <sz val="11"/>
        <color theme="1"/>
        <rFont val="微软雅黑"/>
        <family val="2"/>
        <charset val="134"/>
      </rPr>
      <t>，每周把上一周进展状态的2列，复制到本周，再根据实际情况，选择交付物状态即可，重新前3步。</t>
    </r>
    <phoneticPr fontId="20" type="noConversion"/>
  </si>
  <si>
    <r>
      <t>1）</t>
    </r>
    <r>
      <rPr>
        <b/>
        <sz val="11"/>
        <color theme="1"/>
        <rFont val="微软雅黑"/>
        <family val="2"/>
        <charset val="134"/>
      </rPr>
      <t>项目进度成本状态表</t>
    </r>
    <r>
      <rPr>
        <sz val="11"/>
        <color theme="1"/>
        <rFont val="微软雅黑"/>
        <family val="2"/>
        <charset val="134"/>
      </rPr>
      <t>，根据项目数据PV、EV、AC来判断项目状态，绿色正常，黄色预警，红色报警。</t>
    </r>
    <phoneticPr fontId="21" type="noConversion"/>
  </si>
  <si>
    <r>
      <t>4、</t>
    </r>
    <r>
      <rPr>
        <b/>
        <sz val="11"/>
        <color theme="1"/>
        <rFont val="微软雅黑"/>
        <family val="2"/>
        <charset val="134"/>
      </rPr>
      <t>实例操作步骤演示</t>
    </r>
    <r>
      <rPr>
        <sz val="11"/>
        <color theme="1"/>
        <rFont val="微软雅黑"/>
        <family val="2"/>
        <charset val="134"/>
      </rPr>
      <t>，使用了一个项目例子，来演示整个操作过程及步骤。</t>
    </r>
    <phoneticPr fontId="20" type="noConversion"/>
  </si>
  <si>
    <r>
      <t>1、</t>
    </r>
    <r>
      <rPr>
        <b/>
        <sz val="11"/>
        <color theme="1"/>
        <rFont val="微软雅黑"/>
        <family val="2"/>
        <charset val="134"/>
      </rPr>
      <t>PV</t>
    </r>
    <r>
      <rPr>
        <sz val="11"/>
        <color theme="1"/>
        <rFont val="微软雅黑"/>
        <family val="2"/>
        <charset val="134"/>
      </rPr>
      <t>，计划值，用于说明项目按时间的计划完成情况。</t>
    </r>
    <phoneticPr fontId="21" type="noConversion"/>
  </si>
  <si>
    <r>
      <t>2、</t>
    </r>
    <r>
      <rPr>
        <b/>
        <sz val="11"/>
        <color theme="1"/>
        <rFont val="微软雅黑"/>
        <family val="2"/>
        <charset val="134"/>
      </rPr>
      <t>EV</t>
    </r>
    <r>
      <rPr>
        <sz val="11"/>
        <color theme="1"/>
        <rFont val="微软雅黑"/>
        <family val="2"/>
        <charset val="134"/>
      </rPr>
      <t>，挣值，用于说明项目实际按计划值的完成情况。</t>
    </r>
    <phoneticPr fontId="21" type="noConversion"/>
  </si>
  <si>
    <r>
      <t>3、</t>
    </r>
    <r>
      <rPr>
        <b/>
        <sz val="11"/>
        <color theme="1"/>
        <rFont val="微软雅黑"/>
        <family val="2"/>
        <charset val="134"/>
      </rPr>
      <t>AC</t>
    </r>
    <r>
      <rPr>
        <sz val="11"/>
        <color theme="1"/>
        <rFont val="微软雅黑"/>
        <family val="2"/>
        <charset val="134"/>
      </rPr>
      <t>，实际成本，用于说明项目实际的成本使用情况。</t>
    </r>
    <phoneticPr fontId="21" type="noConversion"/>
  </si>
  <si>
    <r>
      <t>4、</t>
    </r>
    <r>
      <rPr>
        <b/>
        <sz val="11"/>
        <color theme="1"/>
        <rFont val="微软雅黑"/>
        <family val="2"/>
        <charset val="134"/>
      </rPr>
      <t>%</t>
    </r>
    <r>
      <rPr>
        <sz val="11"/>
        <color theme="1"/>
        <rFont val="微软雅黑"/>
        <family val="2"/>
        <charset val="134"/>
      </rPr>
      <t>，百分比，把数值用百分比来形式来展现。</t>
    </r>
    <phoneticPr fontId="21" type="noConversion"/>
  </si>
  <si>
    <r>
      <t>1）</t>
    </r>
    <r>
      <rPr>
        <b/>
        <sz val="11"/>
        <color theme="1"/>
        <rFont val="微软雅黑"/>
        <family val="2"/>
        <charset val="134"/>
      </rPr>
      <t>编制项目简介</t>
    </r>
    <r>
      <rPr>
        <sz val="11"/>
        <color theme="1"/>
        <rFont val="微软雅黑"/>
        <family val="2"/>
        <charset val="134"/>
      </rPr>
      <t>，填写项目名称和项目简介。</t>
    </r>
    <phoneticPr fontId="20" type="noConversion"/>
  </si>
  <si>
    <r>
      <t>3）</t>
    </r>
    <r>
      <rPr>
        <b/>
        <sz val="11"/>
        <color theme="1"/>
        <rFont val="微软雅黑"/>
        <family val="2"/>
        <charset val="134"/>
      </rPr>
      <t>定义项目交付物</t>
    </r>
    <r>
      <rPr>
        <sz val="11"/>
        <color theme="1"/>
        <rFont val="微软雅黑"/>
        <family val="2"/>
        <charset val="134"/>
      </rPr>
      <t>，定义项目交付物的类型和进展状态。</t>
    </r>
    <phoneticPr fontId="20" type="noConversion"/>
  </si>
  <si>
    <r>
      <t>2）</t>
    </r>
    <r>
      <rPr>
        <b/>
        <sz val="11"/>
        <color theme="1"/>
        <rFont val="微软雅黑"/>
        <family val="2"/>
        <charset val="134"/>
      </rPr>
      <t>无需修改</t>
    </r>
    <r>
      <rPr>
        <sz val="11"/>
        <color theme="1"/>
        <rFont val="微软雅黑"/>
        <family val="2"/>
        <charset val="134"/>
      </rPr>
      <t>，项目基本信息的内容在项目规划阶段维护，在项目实施阶段时，无原因，不得修改。</t>
    </r>
    <phoneticPr fontId="23" type="noConversion"/>
  </si>
  <si>
    <r>
      <t>2）</t>
    </r>
    <r>
      <rPr>
        <b/>
        <sz val="11"/>
        <color theme="1"/>
        <rFont val="微软雅黑"/>
        <family val="2"/>
        <charset val="134"/>
      </rPr>
      <t>计划项目实际成本</t>
    </r>
    <r>
      <rPr>
        <sz val="11"/>
        <color theme="1"/>
        <rFont val="微软雅黑"/>
        <family val="2"/>
        <charset val="134"/>
      </rPr>
      <t>，在当前周，项目进度分析表中，填写项目实际成本，计算AC%。</t>
    </r>
    <phoneticPr fontId="20" type="noConversion"/>
  </si>
  <si>
    <t>进度提前
成本超支</t>
    <phoneticPr fontId="20" type="noConversion"/>
  </si>
  <si>
    <t>进度正常
成本超支</t>
    <phoneticPr fontId="20" type="noConversion"/>
  </si>
  <si>
    <t>飞泉项目管理原创项目</t>
    <phoneticPr fontId="36" type="noConversion"/>
  </si>
  <si>
    <t>杨泉</t>
    <phoneticPr fontId="36" type="noConversion"/>
  </si>
  <si>
    <t>飞泉项目管理</t>
    <phoneticPr fontId="36" type="noConversion"/>
  </si>
  <si>
    <t>联系方式:</t>
    <phoneticPr fontId="36" type="noConversion"/>
  </si>
  <si>
    <t>邮箱 yq_work@163.com</t>
    <phoneticPr fontId="36" type="noConversion"/>
  </si>
  <si>
    <t>修订历史</t>
  </si>
  <si>
    <r>
      <t>下次版本发布日期：</t>
    </r>
    <r>
      <rPr>
        <b/>
        <sz val="11"/>
        <color indexed="8"/>
        <rFont val="微软雅黑"/>
        <family val="2"/>
        <charset val="134"/>
      </rPr>
      <t xml:space="preserve"> </t>
    </r>
    <phoneticPr fontId="36" type="noConversion"/>
  </si>
  <si>
    <t>修订日期</t>
    <phoneticPr fontId="36" type="noConversion"/>
  </si>
  <si>
    <t>上次修订日期</t>
    <phoneticPr fontId="36" type="noConversion"/>
  </si>
  <si>
    <t>修订记录</t>
    <phoneticPr fontId="36" type="noConversion"/>
  </si>
  <si>
    <t>修订人</t>
    <phoneticPr fontId="36" type="noConversion"/>
  </si>
  <si>
    <t>无</t>
  </si>
  <si>
    <t>创建模板</t>
    <phoneticPr fontId="20" type="noConversion"/>
  </si>
  <si>
    <t>杨泉</t>
    <phoneticPr fontId="36" type="noConversion"/>
  </si>
  <si>
    <t>批准</t>
    <phoneticPr fontId="36" type="noConversion"/>
  </si>
  <si>
    <t>此文档要得到以下批准，并保存一份签字版在项目文件中。</t>
    <phoneticPr fontId="36" type="noConversion"/>
  </si>
  <si>
    <t>姓名</t>
    <phoneticPr fontId="36" type="noConversion"/>
  </si>
  <si>
    <t>签名</t>
    <phoneticPr fontId="36" type="noConversion"/>
  </si>
  <si>
    <t>职位</t>
    <phoneticPr fontId="36" type="noConversion"/>
  </si>
  <si>
    <t>批准日期</t>
    <phoneticPr fontId="36" type="noConversion"/>
  </si>
  <si>
    <t>版本</t>
    <phoneticPr fontId="36" type="noConversion"/>
  </si>
  <si>
    <t>杨泉</t>
    <phoneticPr fontId="36" type="noConversion"/>
  </si>
  <si>
    <t>杨泉</t>
    <phoneticPr fontId="36" type="noConversion"/>
  </si>
  <si>
    <t>团队主管</t>
    <phoneticPr fontId="36" type="noConversion"/>
  </si>
  <si>
    <t>V1.00</t>
    <phoneticPr fontId="36" type="noConversion"/>
  </si>
  <si>
    <t>分发</t>
    <phoneticPr fontId="36" type="noConversion"/>
  </si>
  <si>
    <t>此文档要分发给以下人：</t>
    <phoneticPr fontId="36" type="noConversion"/>
  </si>
  <si>
    <t>姓名</t>
    <phoneticPr fontId="36" type="noConversion"/>
  </si>
  <si>
    <t>职位</t>
    <phoneticPr fontId="36" type="noConversion"/>
  </si>
  <si>
    <t>分发日期</t>
    <phoneticPr fontId="36" type="noConversion"/>
  </si>
  <si>
    <t>版本</t>
    <phoneticPr fontId="36" type="noConversion"/>
  </si>
  <si>
    <t>无</t>
    <phoneticPr fontId="36" type="noConversion"/>
  </si>
  <si>
    <t>V1.00</t>
    <phoneticPr fontId="36" type="noConversion"/>
  </si>
  <si>
    <t>项目管理实践者、学习者、爱好者</t>
    <phoneticPr fontId="36" type="noConversion"/>
  </si>
  <si>
    <t>2016/6/31</t>
    <phoneticPr fontId="20" type="noConversion"/>
  </si>
  <si>
    <r>
      <t>1）</t>
    </r>
    <r>
      <rPr>
        <b/>
        <sz val="11"/>
        <color theme="1"/>
        <rFont val="微软雅黑"/>
        <family val="2"/>
        <charset val="134"/>
      </rPr>
      <t>计算项目实际进展</t>
    </r>
    <r>
      <rPr>
        <sz val="11"/>
        <color theme="1"/>
        <rFont val="微软雅黑"/>
        <family val="2"/>
        <charset val="134"/>
      </rPr>
      <t>，填写本周交付物的状态，计算项目的进度百分比EV%，自动更新到项目进度分析表中，第一周进度EV%为0。</t>
    </r>
    <phoneticPr fontId="20" type="noConversion"/>
  </si>
  <si>
    <t>项目进度数据分析模板-操作手册</t>
    <phoneticPr fontId="20" type="noConversion"/>
  </si>
  <si>
    <t>1、协助项目负责人，利用项目进展和成本数据，科学地、结构化地进行项目进度和成本的跟踪管理。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</si>
</sst>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 * #,##0.00_ ;_ * \-#,##0.00_ ;_ * &quot;-&quot;??_ ;_ @_ "/>
    <numFmt numFmtId="176" formatCode="0_);[Red]\(0\)"/>
    <numFmt numFmtId="177" formatCode="0&quot;天&quot;"/>
    <numFmt numFmtId="178" formatCode="0&quot;次&quot;"/>
    <numFmt numFmtId="179" formatCode="yyyy/mm/dd"/>
    <numFmt numFmtId="180" formatCode="#,##0&quot;元&quot;"/>
    <numFmt numFmtId="181" formatCode="&quot;第&quot;00&quot;周&quot;"/>
    <numFmt numFmtId="182" formatCode="mm/dd;@"/>
  </numFmts>
  <fonts count="42">
    <font>
      <sz val="11"/>
      <color theme="1"/>
      <name val="宋体"/>
      <charset val="134"/>
      <scheme val="minor"/>
    </font>
    <font>
      <sz val="11"/>
      <color theme="1"/>
      <name val="宋体"/>
      <family val="2"/>
      <scheme val="minor"/>
    </font>
    <font>
      <sz val="10"/>
      <color theme="1"/>
      <name val="微软雅黑"/>
      <family val="2"/>
      <charset val="134"/>
    </font>
    <font>
      <i/>
      <sz val="10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sz val="10"/>
      <color theme="1"/>
      <name val="宋体"/>
      <family val="2"/>
      <scheme val="minor"/>
    </font>
    <font>
      <sz val="11"/>
      <color indexed="8"/>
      <name val="宋体"/>
      <family val="3"/>
      <charset val="134"/>
    </font>
    <font>
      <sz val="12"/>
      <name val="????"/>
      <family val="1"/>
    </font>
    <font>
      <sz val="12"/>
      <name val="宋体"/>
      <family val="3"/>
      <charset val="134"/>
    </font>
    <font>
      <sz val="10"/>
      <name val="Geneva"/>
      <family val="1"/>
    </font>
    <font>
      <b/>
      <sz val="10"/>
      <color theme="0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color theme="1"/>
      <name val="微软雅黑"/>
      <family val="2"/>
      <charset val="134"/>
    </font>
    <font>
      <b/>
      <i/>
      <sz val="10"/>
      <color theme="0"/>
      <name val="微软雅黑"/>
      <family val="2"/>
      <charset val="134"/>
    </font>
    <font>
      <sz val="11"/>
      <color theme="1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theme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</font>
    <font>
      <sz val="11"/>
      <color theme="1"/>
      <name val="宋体"/>
      <family val="3"/>
      <charset val="134"/>
      <scheme val="minor"/>
    </font>
    <font>
      <b/>
      <sz val="11"/>
      <color theme="1"/>
      <name val="微软雅黑"/>
      <family val="2"/>
      <charset val="134"/>
    </font>
    <font>
      <b/>
      <sz val="11"/>
      <color rgb="FFFF0000"/>
      <name val="宋体"/>
      <family val="3"/>
      <charset val="134"/>
      <scheme val="minor"/>
    </font>
    <font>
      <b/>
      <sz val="14"/>
      <color theme="1"/>
      <name val="微软雅黑"/>
      <family val="2"/>
      <charset val="134"/>
    </font>
    <font>
      <sz val="11"/>
      <color theme="0"/>
      <name val="微软雅黑"/>
      <family val="2"/>
      <charset val="134"/>
    </font>
    <font>
      <sz val="10"/>
      <color theme="0"/>
      <name val="微软雅黑"/>
      <family val="2"/>
      <charset val="134"/>
    </font>
    <font>
      <b/>
      <i/>
      <sz val="10"/>
      <color theme="1"/>
      <name val="微软雅黑"/>
      <family val="2"/>
      <charset val="134"/>
    </font>
    <font>
      <b/>
      <sz val="11"/>
      <color rgb="FFFF0000"/>
      <name val="微软雅黑"/>
      <family val="2"/>
      <charset val="134"/>
    </font>
    <font>
      <b/>
      <sz val="14"/>
      <name val="微软雅黑"/>
      <family val="2"/>
      <charset val="134"/>
    </font>
    <font>
      <sz val="12"/>
      <color indexed="8"/>
      <name val="宋体"/>
      <family val="3"/>
      <charset val="134"/>
    </font>
    <font>
      <b/>
      <sz val="16"/>
      <color indexed="8"/>
      <name val="宋体"/>
      <family val="3"/>
      <charset val="134"/>
    </font>
    <font>
      <b/>
      <sz val="16"/>
      <color indexed="8"/>
      <name val="黑体"/>
      <family val="3"/>
      <charset val="134"/>
    </font>
    <font>
      <sz val="9"/>
      <name val="宋体"/>
      <family val="3"/>
      <charset val="134"/>
    </font>
    <font>
      <b/>
      <sz val="12"/>
      <name val="黑体"/>
      <family val="3"/>
      <charset val="134"/>
    </font>
    <font>
      <b/>
      <sz val="11"/>
      <color indexed="8"/>
      <name val="微软雅黑"/>
      <family val="2"/>
      <charset val="134"/>
    </font>
    <font>
      <b/>
      <sz val="11"/>
      <color indexed="8"/>
      <name val="黑体"/>
      <family val="3"/>
      <charset val="134"/>
    </font>
    <font>
      <sz val="10"/>
      <color indexed="8"/>
      <name val="宋体"/>
      <family val="3"/>
      <charset val="134"/>
    </font>
    <font>
      <sz val="10"/>
      <name val="宋体"/>
      <family val="3"/>
      <charset val="134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 style="thin">
        <color theme="1"/>
      </left>
      <right/>
      <top/>
      <bottom style="medium">
        <color theme="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1"/>
      </left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 style="thin">
        <color theme="0" tint="-0.34998626667073579"/>
      </right>
      <top style="thin">
        <color theme="0" tint="-0.34998626667073579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0" fillId="0" borderId="0"/>
    <xf numFmtId="0" fontId="10" fillId="0" borderId="0"/>
    <xf numFmtId="0" fontId="10" fillId="0" borderId="0"/>
    <xf numFmtId="0" fontId="9" fillId="0" borderId="0"/>
    <xf numFmtId="0" fontId="8" fillId="0" borderId="0">
      <alignment vertical="center"/>
    </xf>
    <xf numFmtId="0" fontId="10" fillId="0" borderId="0"/>
    <xf numFmtId="0" fontId="11" fillId="0" borderId="0"/>
    <xf numFmtId="0" fontId="19" fillId="0" borderId="0">
      <alignment vertical="center"/>
    </xf>
    <xf numFmtId="43" fontId="24" fillId="0" borderId="0" applyFont="0" applyFill="0" applyBorder="0" applyAlignment="0" applyProtection="0">
      <alignment vertical="center"/>
    </xf>
  </cellStyleXfs>
  <cellXfs count="98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7" fontId="2" fillId="3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14" fillId="3" borderId="3" xfId="0" applyFont="1" applyFill="1" applyBorder="1" applyAlignment="1">
      <alignment horizontal="center" vertical="center"/>
    </xf>
    <xf numFmtId="0" fontId="3" fillId="4" borderId="6" xfId="0" applyFont="1" applyFill="1" applyBorder="1">
      <alignment vertical="center"/>
    </xf>
    <xf numFmtId="9" fontId="3" fillId="4" borderId="6" xfId="1" applyFont="1" applyFill="1" applyBorder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9" fontId="2" fillId="2" borderId="7" xfId="0" applyNumberFormat="1" applyFont="1" applyFill="1" applyBorder="1" applyAlignment="1">
      <alignment vertical="center" wrapText="1"/>
    </xf>
    <xf numFmtId="176" fontId="2" fillId="3" borderId="7" xfId="0" applyNumberFormat="1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5" fillId="4" borderId="6" xfId="0" applyFont="1" applyFill="1" applyBorder="1">
      <alignment vertical="center"/>
    </xf>
    <xf numFmtId="0" fontId="16" fillId="0" borderId="0" xfId="0" applyFont="1" applyAlignment="1">
      <alignment vertical="top" wrapText="1"/>
    </xf>
    <xf numFmtId="0" fontId="16" fillId="0" borderId="0" xfId="0" applyFont="1" applyAlignment="1">
      <alignment vertical="center" wrapText="1"/>
    </xf>
    <xf numFmtId="0" fontId="16" fillId="0" borderId="0" xfId="0" applyFont="1">
      <alignment vertical="center"/>
    </xf>
    <xf numFmtId="0" fontId="16" fillId="0" borderId="0" xfId="0" applyFont="1" applyBorder="1">
      <alignment vertical="center"/>
    </xf>
    <xf numFmtId="9" fontId="5" fillId="4" borderId="6" xfId="1" applyFont="1" applyFill="1" applyBorder="1" applyAlignment="1">
      <alignment horizontal="center" vertical="center"/>
    </xf>
    <xf numFmtId="0" fontId="17" fillId="5" borderId="4" xfId="0" applyFont="1" applyFill="1" applyBorder="1" applyAlignment="1">
      <alignment horizontal="center" vertical="center"/>
    </xf>
    <xf numFmtId="0" fontId="17" fillId="5" borderId="5" xfId="0" applyFont="1" applyFill="1" applyBorder="1" applyAlignment="1">
      <alignment horizontal="center" vertical="center" wrapText="1"/>
    </xf>
    <xf numFmtId="9" fontId="2" fillId="2" borderId="8" xfId="1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2" fillId="6" borderId="1" xfId="0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22" fillId="0" borderId="0" xfId="0" applyFont="1">
      <alignment vertical="center"/>
    </xf>
    <xf numFmtId="0" fontId="15" fillId="4" borderId="6" xfId="0" applyFont="1" applyFill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179" fontId="2" fillId="3" borderId="1" xfId="0" applyNumberFormat="1" applyFont="1" applyFill="1" applyBorder="1" applyAlignment="1">
      <alignment horizontal="center" vertical="center"/>
    </xf>
    <xf numFmtId="181" fontId="2" fillId="2" borderId="8" xfId="0" applyNumberFormat="1" applyFont="1" applyFill="1" applyBorder="1" applyAlignment="1">
      <alignment horizontal="center" vertical="center"/>
    </xf>
    <xf numFmtId="181" fontId="12" fillId="5" borderId="4" xfId="0" applyNumberFormat="1" applyFont="1" applyFill="1" applyBorder="1" applyAlignment="1">
      <alignment horizontal="center" vertical="center" wrapText="1"/>
    </xf>
    <xf numFmtId="0" fontId="17" fillId="5" borderId="4" xfId="0" applyFont="1" applyFill="1" applyBorder="1" applyAlignment="1">
      <alignment horizontal="center" vertical="center" wrapText="1"/>
    </xf>
    <xf numFmtId="180" fontId="2" fillId="3" borderId="8" xfId="1" applyNumberFormat="1" applyFont="1" applyFill="1" applyBorder="1" applyAlignment="1">
      <alignment horizontal="right" vertical="center"/>
    </xf>
    <xf numFmtId="0" fontId="27" fillId="0" borderId="0" xfId="0" applyFont="1">
      <alignment vertical="center"/>
    </xf>
    <xf numFmtId="180" fontId="2" fillId="3" borderId="2" xfId="1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9" fontId="6" fillId="3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28" fillId="0" borderId="0" xfId="0" applyFont="1" applyAlignment="1">
      <alignment vertical="top" wrapText="1"/>
    </xf>
    <xf numFmtId="176" fontId="30" fillId="4" borderId="6" xfId="0" applyNumberFormat="1" applyFont="1" applyFill="1" applyBorder="1" applyAlignment="1">
      <alignment horizontal="center" vertical="center"/>
    </xf>
    <xf numFmtId="179" fontId="2" fillId="2" borderId="8" xfId="0" applyNumberFormat="1" applyFont="1" applyFill="1" applyBorder="1" applyAlignment="1">
      <alignment horizontal="center" vertical="center" wrapText="1"/>
    </xf>
    <xf numFmtId="182" fontId="12" fillId="5" borderId="4" xfId="0" applyNumberFormat="1" applyFont="1" applyFill="1" applyBorder="1" applyAlignment="1">
      <alignment horizontal="center" vertical="center" wrapText="1"/>
    </xf>
    <xf numFmtId="0" fontId="31" fillId="0" borderId="0" xfId="0" applyFont="1">
      <alignment vertical="center"/>
    </xf>
    <xf numFmtId="181" fontId="5" fillId="2" borderId="8" xfId="0" applyNumberFormat="1" applyFont="1" applyFill="1" applyBorder="1" applyAlignment="1">
      <alignment horizontal="center" vertical="center"/>
    </xf>
    <xf numFmtId="181" fontId="5" fillId="7" borderId="8" xfId="0" applyNumberFormat="1" applyFont="1" applyFill="1" applyBorder="1" applyAlignment="1">
      <alignment horizontal="center" vertical="center"/>
    </xf>
    <xf numFmtId="0" fontId="32" fillId="0" borderId="0" xfId="0" applyFont="1">
      <alignment vertical="center"/>
    </xf>
    <xf numFmtId="0" fontId="8" fillId="0" borderId="0" xfId="6" applyFont="1" applyAlignment="1"/>
    <xf numFmtId="0" fontId="33" fillId="0" borderId="0" xfId="6" applyFont="1">
      <alignment vertical="center"/>
    </xf>
    <xf numFmtId="0" fontId="34" fillId="0" borderId="0" xfId="6" applyFont="1" applyAlignment="1">
      <alignment horizontal="center" vertical="center"/>
    </xf>
    <xf numFmtId="0" fontId="37" fillId="0" borderId="1" xfId="6" applyFont="1" applyBorder="1" applyAlignment="1">
      <alignment vertical="top" wrapText="1"/>
    </xf>
    <xf numFmtId="179" fontId="10" fillId="0" borderId="1" xfId="6" applyNumberFormat="1" applyFont="1" applyBorder="1" applyAlignment="1">
      <alignment horizontal="left" vertical="top" wrapText="1"/>
    </xf>
    <xf numFmtId="0" fontId="10" fillId="0" borderId="1" xfId="6" applyFont="1" applyBorder="1" applyAlignment="1">
      <alignment horizontal="left" vertical="top" wrapText="1"/>
    </xf>
    <xf numFmtId="0" fontId="37" fillId="0" borderId="1" xfId="6" applyFont="1" applyBorder="1" applyAlignment="1">
      <alignment horizontal="right" vertical="top" wrapText="1"/>
    </xf>
    <xf numFmtId="0" fontId="27" fillId="0" borderId="0" xfId="9" applyFont="1" applyAlignment="1" applyProtection="1">
      <alignment vertical="top"/>
      <protection locked="0"/>
    </xf>
    <xf numFmtId="0" fontId="4" fillId="0" borderId="0" xfId="9" applyFont="1">
      <alignment vertical="center"/>
    </xf>
    <xf numFmtId="0" fontId="25" fillId="0" borderId="0" xfId="9" applyFont="1">
      <alignment vertical="center"/>
    </xf>
    <xf numFmtId="0" fontId="38" fillId="0" borderId="0" xfId="9" applyFont="1">
      <alignment vertical="center"/>
    </xf>
    <xf numFmtId="0" fontId="4" fillId="8" borderId="1" xfId="0" applyFont="1" applyFill="1" applyBorder="1" applyAlignment="1">
      <alignment vertical="center" wrapText="1"/>
    </xf>
    <xf numFmtId="0" fontId="4" fillId="9" borderId="1" xfId="0" applyFont="1" applyFill="1" applyBorder="1" applyAlignment="1">
      <alignment vertical="center" wrapText="1"/>
    </xf>
    <xf numFmtId="0" fontId="4" fillId="10" borderId="1" xfId="0" applyFont="1" applyFill="1" applyBorder="1" applyAlignment="1">
      <alignment vertical="center" wrapText="1"/>
    </xf>
    <xf numFmtId="0" fontId="25" fillId="11" borderId="1" xfId="0" applyFont="1" applyFill="1" applyBorder="1">
      <alignment vertical="center"/>
    </xf>
    <xf numFmtId="0" fontId="33" fillId="0" borderId="0" xfId="0" applyFont="1">
      <alignment vertical="center"/>
    </xf>
    <xf numFmtId="0" fontId="37" fillId="0" borderId="0" xfId="0" applyFont="1" applyAlignment="1"/>
    <xf numFmtId="0" fontId="8" fillId="0" borderId="0" xfId="0" applyFont="1" applyAlignment="1"/>
    <xf numFmtId="0" fontId="39" fillId="0" borderId="0" xfId="0" applyFont="1" applyAlignment="1">
      <alignment horizontal="right" vertical="center"/>
    </xf>
    <xf numFmtId="14" fontId="39" fillId="0" borderId="0" xfId="0" applyNumberFormat="1" applyFont="1" applyAlignment="1">
      <alignment horizontal="left"/>
    </xf>
    <xf numFmtId="0" fontId="33" fillId="0" borderId="0" xfId="0" applyFont="1" applyAlignment="1">
      <alignment horizontal="center" vertical="center"/>
    </xf>
    <xf numFmtId="0" fontId="37" fillId="0" borderId="1" xfId="0" applyFont="1" applyBorder="1" applyAlignment="1">
      <alignment horizontal="center" wrapText="1"/>
    </xf>
    <xf numFmtId="179" fontId="40" fillId="0" borderId="1" xfId="0" applyNumberFormat="1" applyFont="1" applyBorder="1" applyAlignment="1">
      <alignment horizontal="center" vertical="center" wrapText="1"/>
    </xf>
    <xf numFmtId="0" fontId="40" fillId="0" borderId="1" xfId="0" applyFont="1" applyBorder="1" applyAlignment="1">
      <alignment horizontal="justify" vertical="center" wrapText="1"/>
    </xf>
    <xf numFmtId="0" fontId="33" fillId="0" borderId="1" xfId="0" applyFont="1" applyBorder="1" applyAlignment="1"/>
    <xf numFmtId="0" fontId="41" fillId="0" borderId="0" xfId="0" applyFont="1" applyAlignment="1"/>
    <xf numFmtId="0" fontId="40" fillId="0" borderId="1" xfId="0" applyFont="1" applyBorder="1" applyAlignment="1">
      <alignment horizontal="center" vertical="center" wrapText="1"/>
    </xf>
    <xf numFmtId="0" fontId="35" fillId="0" borderId="0" xfId="6" applyFont="1" applyAlignment="1">
      <alignment horizontal="center" vertical="center"/>
    </xf>
    <xf numFmtId="0" fontId="10" fillId="0" borderId="1" xfId="6" applyFont="1" applyBorder="1" applyAlignment="1">
      <alignment vertical="top" wrapText="1"/>
    </xf>
    <xf numFmtId="0" fontId="40" fillId="0" borderId="3" xfId="0" applyFont="1" applyBorder="1" applyAlignment="1">
      <alignment horizontal="center"/>
    </xf>
    <xf numFmtId="0" fontId="40" fillId="0" borderId="12" xfId="0" applyFont="1" applyBorder="1" applyAlignment="1">
      <alignment horizontal="center"/>
    </xf>
    <xf numFmtId="0" fontId="37" fillId="0" borderId="3" xfId="0" applyFont="1" applyBorder="1" applyAlignment="1">
      <alignment horizontal="center" wrapText="1"/>
    </xf>
    <xf numFmtId="0" fontId="37" fillId="0" borderId="12" xfId="0" applyFont="1" applyBorder="1" applyAlignment="1">
      <alignment horizontal="center" wrapText="1"/>
    </xf>
    <xf numFmtId="0" fontId="40" fillId="0" borderId="3" xfId="0" applyFont="1" applyBorder="1" applyAlignment="1">
      <alignment horizontal="left" vertical="center" wrapText="1"/>
    </xf>
    <xf numFmtId="0" fontId="40" fillId="0" borderId="12" xfId="0" applyFont="1" applyBorder="1" applyAlignment="1">
      <alignment horizontal="left" vertical="center" wrapText="1"/>
    </xf>
    <xf numFmtId="0" fontId="15" fillId="4" borderId="9" xfId="0" applyFont="1" applyFill="1" applyBorder="1" applyAlignment="1">
      <alignment horizontal="left" vertical="center"/>
    </xf>
    <xf numFmtId="0" fontId="15" fillId="4" borderId="10" xfId="0" applyFont="1" applyFill="1" applyBorder="1" applyAlignment="1">
      <alignment horizontal="left" vertical="center"/>
    </xf>
    <xf numFmtId="0" fontId="15" fillId="4" borderId="11" xfId="0" applyFont="1" applyFill="1" applyBorder="1" applyAlignment="1">
      <alignment horizontal="left" vertical="center"/>
    </xf>
    <xf numFmtId="0" fontId="25" fillId="11" borderId="1" xfId="0" applyFont="1" applyFill="1" applyBorder="1" applyAlignment="1">
      <alignment horizontal="center" vertical="center"/>
    </xf>
    <xf numFmtId="0" fontId="25" fillId="11" borderId="1" xfId="0" applyFont="1" applyFill="1" applyBorder="1" applyAlignment="1">
      <alignment horizontal="center" vertical="center" wrapText="1"/>
    </xf>
  </cellXfs>
  <cellStyles count="11">
    <cellStyle name="??" xfId="5" xr:uid="{00000000-0005-0000-0000-000000000000}"/>
    <cellStyle name="0,0_x000d__x000a_NA_x000d__x000a_" xfId="2" xr:uid="{00000000-0005-0000-0000-000001000000}"/>
    <cellStyle name="Normal 2" xfId="3" xr:uid="{00000000-0005-0000-0000-000002000000}"/>
    <cellStyle name="百分比" xfId="1" builtinId="5"/>
    <cellStyle name="常规" xfId="0" builtinId="0"/>
    <cellStyle name="常规 2" xfId="6" xr:uid="{00000000-0005-0000-0000-000005000000}"/>
    <cellStyle name="常规 2 3" xfId="4" xr:uid="{00000000-0005-0000-0000-000006000000}"/>
    <cellStyle name="常规 3" xfId="9" xr:uid="{00000000-0005-0000-0000-000007000000}"/>
    <cellStyle name="常规 9 2" xfId="7" xr:uid="{00000000-0005-0000-0000-000008000000}"/>
    <cellStyle name="千位分隔" xfId="10" builtinId="3"/>
    <cellStyle name="样式 1" xfId="8" xr:uid="{00000000-0005-0000-0000-00000A000000}"/>
  </cellStyles>
  <dxfs count="35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A7F9A7"/>
        </patternFill>
      </fill>
    </dxf>
    <dxf>
      <fill>
        <patternFill patternType="solid">
          <bgColor theme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/>
  <colors>
    <mruColors>
      <color rgb="FFFFFF99"/>
      <color rgb="FFA7F9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zh-CN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strRef>
          <c:f>进度分析!$I$31</c:f>
          <c:strCache>
            <c:ptCount val="1"/>
            <c:pt idx="0">
              <c:v>项目管理实践书籍编制项目 第08周 进度延迟 成本结余 项目预警</c:v>
            </c:pt>
          </c:strCache>
        </c:strRef>
      </c:tx>
      <c:layout>
        <c:manualLayout>
          <c:xMode val="edge"/>
          <c:yMode val="edge"/>
          <c:x val="7.931897478034769E-2"/>
          <c:y val="8.8188976377952755E-2"/>
        </c:manualLayout>
      </c:layout>
      <c:overlay val="0"/>
      <c:spPr>
        <a:solidFill>
          <a:sysClr val="window" lastClr="FFFFFF">
            <a:alpha val="0"/>
          </a:sys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baseline="0">
              <a:solidFill>
                <a:sysClr val="windowText" lastClr="000000"/>
              </a:solidFill>
              <a:latin typeface="Arial" panose="020B0604020202020204" pitchFamily="34" charset="0"/>
              <a:ea typeface="微软雅黑" panose="020B0503020204020204" pitchFamily="34" charset="-122"/>
              <a:cs typeface="+mn-cs"/>
            </a:defRPr>
          </a:pPr>
          <a:endParaRPr lang="zh-CN"/>
        </a:p>
      </c:txPr>
    </c:title>
    <c:autoTitleDeleted val="0"/>
    <c:plotArea>
      <c:layout>
        <c:manualLayout>
          <c:layoutTarget val="inner"/>
          <c:xMode val="edge"/>
          <c:yMode val="edge"/>
          <c:x val="8.3181885594168142E-2"/>
          <c:y val="5.3606299212598421E-2"/>
          <c:w val="0.88847463500032953"/>
          <c:h val="0.86042482484964966"/>
        </c:manualLayout>
      </c:layout>
      <c:lineChart>
        <c:grouping val="standard"/>
        <c:varyColors val="0"/>
        <c:ser>
          <c:idx val="0"/>
          <c:order val="0"/>
          <c:tx>
            <c:strRef>
              <c:f>进度分析!$D$2</c:f>
              <c:strCache>
                <c:ptCount val="1"/>
                <c:pt idx="0">
                  <c:v>PV%</c:v>
                </c:pt>
              </c:strCache>
            </c:strRef>
          </c:tx>
          <c:spPr>
            <a:ln w="31750" cap="rnd">
              <a:solidFill>
                <a:srgbClr val="3B95D2"/>
              </a:solidFill>
              <a:round/>
            </a:ln>
            <a:effectLst>
              <a:glow rad="63500">
                <a:srgbClr val="4BACC6">
                  <a:lumMod val="40000"/>
                  <a:lumOff val="60000"/>
                  <a:alpha val="40000"/>
                </a:srgbClr>
              </a:glow>
              <a:outerShdw blurRad="38100" dist="38100" dir="5400000" algn="t" rotWithShape="0">
                <a:srgbClr val="717171">
                  <a:alpha val="40000"/>
                </a:srgbClr>
              </a:outerShdw>
            </a:effectLst>
          </c:spPr>
          <c:marker>
            <c:symbol val="circle"/>
            <c:size val="7"/>
            <c:spPr>
              <a:solidFill>
                <a:srgbClr val="3B95D2"/>
              </a:solidFill>
              <a:ln w="31750">
                <a:solidFill>
                  <a:schemeClr val="bg1"/>
                </a:solidFill>
              </a:ln>
              <a:effectLst>
                <a:glow rad="63500">
                  <a:srgbClr val="4BACC6">
                    <a:lumMod val="40000"/>
                    <a:lumOff val="60000"/>
                    <a:alpha val="40000"/>
                  </a:srgbClr>
                </a:glow>
                <a:outerShdw blurRad="38100" dist="38100" dir="5400000" algn="t" rotWithShape="0">
                  <a:srgbClr val="717171">
                    <a:alpha val="40000"/>
                  </a:srgbClr>
                </a:outerShdw>
              </a:effectLst>
            </c:spPr>
          </c:marker>
          <c:cat>
            <c:numRef>
              <c:f>进度分析!$C$3:$C$20</c:f>
              <c:numCache>
                <c:formatCode>yyyy/mm/dd</c:formatCode>
                <c:ptCount val="18"/>
                <c:pt idx="0">
                  <c:v>42433</c:v>
                </c:pt>
                <c:pt idx="1">
                  <c:v>42440</c:v>
                </c:pt>
                <c:pt idx="2">
                  <c:v>42447</c:v>
                </c:pt>
                <c:pt idx="3">
                  <c:v>42454</c:v>
                </c:pt>
                <c:pt idx="4">
                  <c:v>42461</c:v>
                </c:pt>
                <c:pt idx="5">
                  <c:v>42468</c:v>
                </c:pt>
                <c:pt idx="6">
                  <c:v>42475</c:v>
                </c:pt>
                <c:pt idx="7">
                  <c:v>42482</c:v>
                </c:pt>
                <c:pt idx="8">
                  <c:v>42489</c:v>
                </c:pt>
                <c:pt idx="9">
                  <c:v>42496</c:v>
                </c:pt>
                <c:pt idx="10">
                  <c:v>42503</c:v>
                </c:pt>
                <c:pt idx="11">
                  <c:v>42510</c:v>
                </c:pt>
                <c:pt idx="12">
                  <c:v>42517</c:v>
                </c:pt>
                <c:pt idx="13">
                  <c:v>42524</c:v>
                </c:pt>
                <c:pt idx="14">
                  <c:v>42531</c:v>
                </c:pt>
                <c:pt idx="15">
                  <c:v>42538</c:v>
                </c:pt>
                <c:pt idx="16">
                  <c:v>42545</c:v>
                </c:pt>
              </c:numCache>
            </c:numRef>
          </c:cat>
          <c:val>
            <c:numRef>
              <c:f>进度分析!$D$3:$D$20</c:f>
              <c:numCache>
                <c:formatCode>0%</c:formatCode>
                <c:ptCount val="18"/>
                <c:pt idx="0">
                  <c:v>0</c:v>
                </c:pt>
                <c:pt idx="1">
                  <c:v>6.25E-2</c:v>
                </c:pt>
                <c:pt idx="2">
                  <c:v>0.125</c:v>
                </c:pt>
                <c:pt idx="3">
                  <c:v>0.1875</c:v>
                </c:pt>
                <c:pt idx="4">
                  <c:v>0.25</c:v>
                </c:pt>
                <c:pt idx="5">
                  <c:v>0.3125</c:v>
                </c:pt>
                <c:pt idx="6">
                  <c:v>0.375</c:v>
                </c:pt>
                <c:pt idx="7">
                  <c:v>0.4375</c:v>
                </c:pt>
                <c:pt idx="8">
                  <c:v>0.5</c:v>
                </c:pt>
                <c:pt idx="9">
                  <c:v>0.5625</c:v>
                </c:pt>
                <c:pt idx="10">
                  <c:v>0.625</c:v>
                </c:pt>
                <c:pt idx="11">
                  <c:v>0.6875</c:v>
                </c:pt>
                <c:pt idx="12">
                  <c:v>0.75</c:v>
                </c:pt>
                <c:pt idx="13">
                  <c:v>0.8125</c:v>
                </c:pt>
                <c:pt idx="14">
                  <c:v>0.875</c:v>
                </c:pt>
                <c:pt idx="15">
                  <c:v>0.9375</c:v>
                </c:pt>
                <c:pt idx="16">
                  <c:v>1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DD79-432B-A0A1-471347AF20EE}"/>
            </c:ext>
          </c:extLst>
        </c:ser>
        <c:ser>
          <c:idx val="1"/>
          <c:order val="1"/>
          <c:tx>
            <c:strRef>
              <c:f>进度分析!$E$2</c:f>
              <c:strCache>
                <c:ptCount val="1"/>
                <c:pt idx="0">
                  <c:v>EV%</c:v>
                </c:pt>
              </c:strCache>
            </c:strRef>
          </c:tx>
          <c:spPr>
            <a:ln w="31750" cap="rnd">
              <a:solidFill>
                <a:srgbClr val="9BBB59">
                  <a:lumMod val="75000"/>
                </a:srgbClr>
              </a:solidFill>
              <a:round/>
            </a:ln>
            <a:effectLst>
              <a:glow rad="63500">
                <a:srgbClr val="9BBB59">
                  <a:lumMod val="60000"/>
                  <a:lumOff val="40000"/>
                  <a:alpha val="40000"/>
                </a:srgbClr>
              </a:glow>
              <a:outerShdw blurRad="38100" dist="38100" dir="5400000" algn="t" rotWithShape="0">
                <a:srgbClr val="717171">
                  <a:alpha val="40000"/>
                </a:srgbClr>
              </a:outerShdw>
            </a:effectLst>
          </c:spPr>
          <c:marker>
            <c:symbol val="circle"/>
            <c:size val="7"/>
            <c:spPr>
              <a:solidFill>
                <a:srgbClr val="9BBB59">
                  <a:lumMod val="75000"/>
                </a:srgbClr>
              </a:solidFill>
              <a:ln w="31750">
                <a:solidFill>
                  <a:srgbClr val="FFFFFF"/>
                </a:solidFill>
              </a:ln>
              <a:effectLst>
                <a:glow rad="63500">
                  <a:srgbClr val="9BBB59">
                    <a:lumMod val="60000"/>
                    <a:lumOff val="40000"/>
                    <a:alpha val="40000"/>
                  </a:srgbClr>
                </a:glow>
                <a:outerShdw blurRad="38100" dist="38100" dir="5400000" algn="t" rotWithShape="0">
                  <a:srgbClr val="717171">
                    <a:alpha val="40000"/>
                  </a:srgbClr>
                </a:outerShdw>
              </a:effectLst>
            </c:spPr>
          </c:marker>
          <c:cat>
            <c:numRef>
              <c:f>进度分析!$C$3:$C$20</c:f>
              <c:numCache>
                <c:formatCode>yyyy/mm/dd</c:formatCode>
                <c:ptCount val="18"/>
                <c:pt idx="0">
                  <c:v>42433</c:v>
                </c:pt>
                <c:pt idx="1">
                  <c:v>42440</c:v>
                </c:pt>
                <c:pt idx="2">
                  <c:v>42447</c:v>
                </c:pt>
                <c:pt idx="3">
                  <c:v>42454</c:v>
                </c:pt>
                <c:pt idx="4">
                  <c:v>42461</c:v>
                </c:pt>
                <c:pt idx="5">
                  <c:v>42468</c:v>
                </c:pt>
                <c:pt idx="6">
                  <c:v>42475</c:v>
                </c:pt>
                <c:pt idx="7">
                  <c:v>42482</c:v>
                </c:pt>
                <c:pt idx="8">
                  <c:v>42489</c:v>
                </c:pt>
                <c:pt idx="9">
                  <c:v>42496</c:v>
                </c:pt>
                <c:pt idx="10">
                  <c:v>42503</c:v>
                </c:pt>
                <c:pt idx="11">
                  <c:v>42510</c:v>
                </c:pt>
                <c:pt idx="12">
                  <c:v>42517</c:v>
                </c:pt>
                <c:pt idx="13">
                  <c:v>42524</c:v>
                </c:pt>
                <c:pt idx="14">
                  <c:v>42531</c:v>
                </c:pt>
                <c:pt idx="15">
                  <c:v>42538</c:v>
                </c:pt>
                <c:pt idx="16">
                  <c:v>42545</c:v>
                </c:pt>
              </c:numCache>
            </c:numRef>
          </c:cat>
          <c:val>
            <c:numRef>
              <c:f>进度分析!$E$3:$E$20</c:f>
              <c:numCache>
                <c:formatCode>0%</c:formatCode>
                <c:ptCount val="18"/>
                <c:pt idx="0">
                  <c:v>0</c:v>
                </c:pt>
                <c:pt idx="1">
                  <c:v>5.6666666666666664E-2</c:v>
                </c:pt>
                <c:pt idx="2">
                  <c:v>0.1111111111111111</c:v>
                </c:pt>
                <c:pt idx="3">
                  <c:v>0.16222222222222221</c:v>
                </c:pt>
                <c:pt idx="4">
                  <c:v>0.20666666666666664</c:v>
                </c:pt>
                <c:pt idx="5">
                  <c:v>0.19444444444444445</c:v>
                </c:pt>
                <c:pt idx="6">
                  <c:v>0.22555555555555556</c:v>
                </c:pt>
                <c:pt idx="7">
                  <c:v>0.2655555555555556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DD79-432B-A0A1-471347AF20EE}"/>
            </c:ext>
          </c:extLst>
        </c:ser>
        <c:ser>
          <c:idx val="2"/>
          <c:order val="2"/>
          <c:tx>
            <c:strRef>
              <c:f>进度分析!$F$2</c:f>
              <c:strCache>
                <c:ptCount val="1"/>
                <c:pt idx="0">
                  <c:v>AC%</c:v>
                </c:pt>
              </c:strCache>
            </c:strRef>
          </c:tx>
          <c:spPr>
            <a:ln>
              <a:solidFill>
                <a:srgbClr val="C0504D"/>
              </a:solidFill>
            </a:ln>
            <a:effectLst>
              <a:glow rad="63500">
                <a:srgbClr val="F79646">
                  <a:lumMod val="60000"/>
                  <a:lumOff val="40000"/>
                  <a:alpha val="40000"/>
                </a:srgbClr>
              </a:glow>
            </a:effectLst>
          </c:spPr>
          <c:marker>
            <c:symbol val="triangle"/>
            <c:size val="7"/>
            <c:spPr>
              <a:solidFill>
                <a:srgbClr val="C00000"/>
              </a:solidFill>
              <a:effectLst>
                <a:glow rad="63500">
                  <a:srgbClr val="F79646">
                    <a:lumMod val="60000"/>
                    <a:lumOff val="40000"/>
                    <a:alpha val="40000"/>
                  </a:srgbClr>
                </a:glow>
              </a:effectLst>
            </c:spPr>
          </c:marker>
          <c:cat>
            <c:numRef>
              <c:f>进度分析!$C$3:$C$20</c:f>
              <c:numCache>
                <c:formatCode>yyyy/mm/dd</c:formatCode>
                <c:ptCount val="18"/>
                <c:pt idx="0">
                  <c:v>42433</c:v>
                </c:pt>
                <c:pt idx="1">
                  <c:v>42440</c:v>
                </c:pt>
                <c:pt idx="2">
                  <c:v>42447</c:v>
                </c:pt>
                <c:pt idx="3">
                  <c:v>42454</c:v>
                </c:pt>
                <c:pt idx="4">
                  <c:v>42461</c:v>
                </c:pt>
                <c:pt idx="5">
                  <c:v>42468</c:v>
                </c:pt>
                <c:pt idx="6">
                  <c:v>42475</c:v>
                </c:pt>
                <c:pt idx="7">
                  <c:v>42482</c:v>
                </c:pt>
                <c:pt idx="8">
                  <c:v>42489</c:v>
                </c:pt>
                <c:pt idx="9">
                  <c:v>42496</c:v>
                </c:pt>
                <c:pt idx="10">
                  <c:v>42503</c:v>
                </c:pt>
                <c:pt idx="11">
                  <c:v>42510</c:v>
                </c:pt>
                <c:pt idx="12">
                  <c:v>42517</c:v>
                </c:pt>
                <c:pt idx="13">
                  <c:v>42524</c:v>
                </c:pt>
                <c:pt idx="14">
                  <c:v>42531</c:v>
                </c:pt>
                <c:pt idx="15">
                  <c:v>42538</c:v>
                </c:pt>
                <c:pt idx="16">
                  <c:v>42545</c:v>
                </c:pt>
              </c:numCache>
            </c:numRef>
          </c:cat>
          <c:val>
            <c:numRef>
              <c:f>进度分析!$F$3:$F$20</c:f>
              <c:numCache>
                <c:formatCode>0%</c:formatCode>
                <c:ptCount val="18"/>
                <c:pt idx="0">
                  <c:v>0</c:v>
                </c:pt>
                <c:pt idx="1">
                  <c:v>2.976190476190476E-2</c:v>
                </c:pt>
                <c:pt idx="2">
                  <c:v>5.3571428571428568E-2</c:v>
                </c:pt>
                <c:pt idx="3">
                  <c:v>8.3333333333333329E-2</c:v>
                </c:pt>
                <c:pt idx="4">
                  <c:v>0.10714285714285714</c:v>
                </c:pt>
                <c:pt idx="5">
                  <c:v>0.1130952380952381</c:v>
                </c:pt>
                <c:pt idx="6">
                  <c:v>0.13095238095238096</c:v>
                </c:pt>
                <c:pt idx="7">
                  <c:v>0.14880952380952381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D79-432B-A0A1-471347AF20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991628992"/>
        <c:axId val="-991633888"/>
      </c:lineChart>
      <c:dateAx>
        <c:axId val="-991628992"/>
        <c:scaling>
          <c:orientation val="minMax"/>
        </c:scaling>
        <c:delete val="0"/>
        <c:axPos val="b"/>
        <c:majorGridlines>
          <c:spPr>
            <a:ln w="12700" cap="flat" cmpd="sng" algn="ctr">
              <a:solidFill>
                <a:schemeClr val="bg1"/>
              </a:solidFill>
              <a:round/>
            </a:ln>
            <a:effectLst/>
          </c:spPr>
        </c:majorGridlines>
        <c:numFmt formatCode="yyyy/mm/dd" sourceLinked="1"/>
        <c:majorTickMark val="out"/>
        <c:minorTickMark val="none"/>
        <c:tickLblPos val="nextTo"/>
        <c:spPr>
          <a:noFill/>
          <a:ln w="9525" cap="flat" cmpd="sng" algn="ctr">
            <a:solidFill>
              <a:srgbClr val="FFFFFF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微软雅黑" pitchFamily="34" charset="-122"/>
                <a:ea typeface="微软雅黑" pitchFamily="34" charset="-122"/>
                <a:cs typeface="+mn-cs"/>
              </a:defRPr>
            </a:pPr>
            <a:endParaRPr lang="zh-CN"/>
          </a:p>
        </c:txPr>
        <c:crossAx val="-991633888"/>
        <c:crosses val="autoZero"/>
        <c:auto val="0"/>
        <c:lblOffset val="100"/>
        <c:baseTimeUnit val="days"/>
        <c:majorUnit val="15"/>
        <c:majorTimeUnit val="days"/>
      </c:dateAx>
      <c:valAx>
        <c:axId val="-991633888"/>
        <c:scaling>
          <c:orientation val="minMax"/>
          <c:max val="1"/>
          <c:min val="0"/>
        </c:scaling>
        <c:delete val="0"/>
        <c:axPos val="l"/>
        <c:majorGridlines>
          <c:spPr>
            <a:ln w="12700" cap="flat" cmpd="sng" algn="ctr">
              <a:solidFill>
                <a:schemeClr val="bg1"/>
              </a:solidFill>
              <a:round/>
            </a:ln>
            <a:effectLst/>
          </c:spPr>
        </c:majorGridlines>
        <c:numFmt formatCode="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微软雅黑" pitchFamily="34" charset="-122"/>
                <a:ea typeface="微软雅黑" pitchFamily="34" charset="-122"/>
                <a:cs typeface="+mn-cs"/>
              </a:defRPr>
            </a:pPr>
            <a:endParaRPr lang="zh-CN"/>
          </a:p>
        </c:txPr>
        <c:crossAx val="-991628992"/>
        <c:crosses val="autoZero"/>
        <c:crossBetween val="midCat"/>
        <c:majorUnit val="0.2"/>
        <c:minorUnit val="2.0000000000000004E-2"/>
      </c:valAx>
      <c:spPr>
        <a:solidFill>
          <a:srgbClr val="EAEAEA"/>
        </a:solidFill>
        <a:ln>
          <a:gradFill>
            <a:gsLst>
              <a:gs pos="0">
                <a:srgbClr val="4F81BD">
                  <a:tint val="66000"/>
                  <a:satMod val="160000"/>
                </a:srgbClr>
              </a:gs>
              <a:gs pos="50000">
                <a:srgbClr val="4F81BD">
                  <a:tint val="44500"/>
                  <a:satMod val="160000"/>
                </a:srgbClr>
              </a:gs>
              <a:gs pos="100000">
                <a:srgbClr val="4F81BD">
                  <a:tint val="23500"/>
                  <a:satMod val="160000"/>
                </a:srgbClr>
              </a:gs>
            </a:gsLst>
            <a:lin ang="5400000" scaled="0"/>
          </a:gradFill>
        </a:ln>
        <a:effectLst/>
      </c:spPr>
    </c:plotArea>
    <c:legend>
      <c:legendPos val="b"/>
      <c:layout>
        <c:manualLayout>
          <c:xMode val="edge"/>
          <c:yMode val="edge"/>
          <c:x val="0.11518193656628503"/>
          <c:y val="0.23480463760927525"/>
          <c:w val="0.27379672590909993"/>
          <c:h val="5.02347324694649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微软雅黑" panose="020B0503020204020204" pitchFamily="34" charset="-122"/>
              <a:cs typeface="+mn-cs"/>
            </a:defRPr>
          </a:pPr>
          <a:endParaRPr lang="zh-CN"/>
        </a:p>
      </c:txPr>
    </c:legend>
    <c:plotVisOnly val="1"/>
    <c:dispBlanksAs val="gap"/>
    <c:showDLblsOverMax val="0"/>
  </c:chart>
  <c:spPr>
    <a:solidFill>
      <a:srgbClr val="FFFFFF"/>
    </a:solidFill>
    <a:ln w="9525" cap="flat" cmpd="sng" algn="ctr">
      <a:solidFill>
        <a:sysClr val="window" lastClr="FFFFFF">
          <a:lumMod val="85000"/>
        </a:sysClr>
      </a:solidFill>
      <a:round/>
    </a:ln>
    <a:effectLst/>
  </c:spPr>
  <c:txPr>
    <a:bodyPr/>
    <a:lstStyle/>
    <a:p>
      <a:pPr>
        <a:defRPr/>
      </a:pPr>
      <a:endParaRPr lang="zh-CN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5" Type="http://schemas.openxmlformats.org/officeDocument/2006/relationships/image" Target="../media/image1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419100</xdr:colOff>
      <xdr:row>32</xdr:row>
      <xdr:rowOff>0</xdr:rowOff>
    </xdr:from>
    <xdr:to>
      <xdr:col>4</xdr:col>
      <xdr:colOff>205740</xdr:colOff>
      <xdr:row>45</xdr:row>
      <xdr:rowOff>81915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6925" y="2143125"/>
          <a:ext cx="2434590" cy="2434590"/>
        </a:xfrm>
        <a:prstGeom prst="rect">
          <a:avLst/>
        </a:prstGeom>
      </xdr:spPr>
    </xdr:pic>
    <xdr:clientData/>
  </xdr:twoCellAnchor>
  <xdr:twoCellAnchor>
    <xdr:from>
      <xdr:col>2</xdr:col>
      <xdr:colOff>742538</xdr:colOff>
      <xdr:row>45</xdr:row>
      <xdr:rowOff>101843</xdr:rowOff>
    </xdr:from>
    <xdr:to>
      <xdr:col>3</xdr:col>
      <xdr:colOff>1444729</xdr:colOff>
      <xdr:row>47</xdr:row>
      <xdr:rowOff>78447</xdr:rowOff>
    </xdr:to>
    <xdr:sp macro="" textlink="">
      <xdr:nvSpPr>
        <xdr:cNvPr id="5" name="文本框 10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390363" y="4597643"/>
          <a:ext cx="1826141" cy="338554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en-US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zh-CN" altLang="en-US" sz="1600" i="0"/>
            <a:t>飞泉项目管理咨询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105833</xdr:colOff>
      <xdr:row>1</xdr:row>
      <xdr:rowOff>105833</xdr:rowOff>
    </xdr:from>
    <xdr:to>
      <xdr:col>18</xdr:col>
      <xdr:colOff>201082</xdr:colOff>
      <xdr:row>19</xdr:row>
      <xdr:rowOff>127000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171450</xdr:colOff>
      <xdr:row>23</xdr:row>
      <xdr:rowOff>114300</xdr:rowOff>
    </xdr:from>
    <xdr:to>
      <xdr:col>13</xdr:col>
      <xdr:colOff>342021</xdr:colOff>
      <xdr:row>23</xdr:row>
      <xdr:rowOff>780967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5850" y="2809875"/>
          <a:ext cx="7028571" cy="0"/>
        </a:xfrm>
        <a:prstGeom prst="rect">
          <a:avLst/>
        </a:prstGeom>
      </xdr:spPr>
    </xdr:pic>
    <xdr:clientData/>
  </xdr:twoCellAnchor>
  <xdr:twoCellAnchor>
    <xdr:from>
      <xdr:col>3</xdr:col>
      <xdr:colOff>104775</xdr:colOff>
      <xdr:row>29</xdr:row>
      <xdr:rowOff>47625</xdr:rowOff>
    </xdr:from>
    <xdr:to>
      <xdr:col>10</xdr:col>
      <xdr:colOff>313699</xdr:colOff>
      <xdr:row>29</xdr:row>
      <xdr:rowOff>1561911</xdr:rowOff>
    </xdr:to>
    <xdr:pic>
      <xdr:nvPicPr>
        <xdr:cNvPr id="6" name="图片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19175" y="3324225"/>
          <a:ext cx="5009524" cy="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28575</xdr:rowOff>
    </xdr:from>
    <xdr:to>
      <xdr:col>13</xdr:col>
      <xdr:colOff>487103</xdr:colOff>
      <xdr:row>27</xdr:row>
      <xdr:rowOff>3000375</xdr:rowOff>
    </xdr:to>
    <xdr:pic>
      <xdr:nvPicPr>
        <xdr:cNvPr id="15" name="图片 14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33450" y="3181350"/>
          <a:ext cx="7326053" cy="2971800"/>
        </a:xfrm>
        <a:prstGeom prst="rect">
          <a:avLst/>
        </a:prstGeom>
      </xdr:spPr>
    </xdr:pic>
    <xdr:clientData/>
  </xdr:twoCellAnchor>
  <xdr:twoCellAnchor>
    <xdr:from>
      <xdr:col>3</xdr:col>
      <xdr:colOff>19051</xdr:colOff>
      <xdr:row>33</xdr:row>
      <xdr:rowOff>28575</xdr:rowOff>
    </xdr:from>
    <xdr:to>
      <xdr:col>5</xdr:col>
      <xdr:colOff>241692</xdr:colOff>
      <xdr:row>33</xdr:row>
      <xdr:rowOff>3143250</xdr:rowOff>
    </xdr:to>
    <xdr:pic>
      <xdr:nvPicPr>
        <xdr:cNvPr id="5" name="图片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33451" y="6715125"/>
          <a:ext cx="1594241" cy="3114675"/>
        </a:xfrm>
        <a:prstGeom prst="rect">
          <a:avLst/>
        </a:prstGeom>
      </xdr:spPr>
    </xdr:pic>
    <xdr:clientData/>
  </xdr:twoCellAnchor>
  <xdr:twoCellAnchor>
    <xdr:from>
      <xdr:col>5</xdr:col>
      <xdr:colOff>323850</xdr:colOff>
      <xdr:row>33</xdr:row>
      <xdr:rowOff>53788</xdr:rowOff>
    </xdr:from>
    <xdr:to>
      <xdr:col>14</xdr:col>
      <xdr:colOff>512444</xdr:colOff>
      <xdr:row>33</xdr:row>
      <xdr:rowOff>3171825</xdr:rowOff>
    </xdr:to>
    <xdr:pic>
      <xdr:nvPicPr>
        <xdr:cNvPr id="16" name="图片 15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609850" y="6740338"/>
          <a:ext cx="6360794" cy="3118037"/>
        </a:xfrm>
        <a:prstGeom prst="rect">
          <a:avLst/>
        </a:prstGeom>
      </xdr:spPr>
    </xdr:pic>
    <xdr:clientData/>
  </xdr:twoCellAnchor>
  <xdr:twoCellAnchor>
    <xdr:from>
      <xdr:col>3</xdr:col>
      <xdr:colOff>123825</xdr:colOff>
      <xdr:row>25</xdr:row>
      <xdr:rowOff>57150</xdr:rowOff>
    </xdr:from>
    <xdr:to>
      <xdr:col>10</xdr:col>
      <xdr:colOff>189892</xdr:colOff>
      <xdr:row>25</xdr:row>
      <xdr:rowOff>1923817</xdr:rowOff>
    </xdr:to>
    <xdr:pic>
      <xdr:nvPicPr>
        <xdr:cNvPr id="18" name="图片 1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038225" y="3038475"/>
          <a:ext cx="4866667" cy="1866667"/>
        </a:xfrm>
        <a:prstGeom prst="rect">
          <a:avLst/>
        </a:prstGeom>
      </xdr:spPr>
    </xdr:pic>
    <xdr:clientData/>
  </xdr:twoCellAnchor>
  <xdr:twoCellAnchor>
    <xdr:from>
      <xdr:col>3</xdr:col>
      <xdr:colOff>228600</xdr:colOff>
      <xdr:row>36</xdr:row>
      <xdr:rowOff>85725</xdr:rowOff>
    </xdr:from>
    <xdr:to>
      <xdr:col>10</xdr:col>
      <xdr:colOff>313714</xdr:colOff>
      <xdr:row>36</xdr:row>
      <xdr:rowOff>1933344</xdr:rowOff>
    </xdr:to>
    <xdr:pic>
      <xdr:nvPicPr>
        <xdr:cNvPr id="19" name="图片 18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43000" y="4095750"/>
          <a:ext cx="4885714" cy="1847619"/>
        </a:xfrm>
        <a:prstGeom prst="rect">
          <a:avLst/>
        </a:prstGeom>
      </xdr:spPr>
    </xdr:pic>
    <xdr:clientData/>
  </xdr:twoCellAnchor>
  <xdr:twoCellAnchor>
    <xdr:from>
      <xdr:col>3</xdr:col>
      <xdr:colOff>104775</xdr:colOff>
      <xdr:row>51</xdr:row>
      <xdr:rowOff>47625</xdr:rowOff>
    </xdr:from>
    <xdr:to>
      <xdr:col>9</xdr:col>
      <xdr:colOff>304800</xdr:colOff>
      <xdr:row>51</xdr:row>
      <xdr:rowOff>3470516</xdr:rowOff>
    </xdr:to>
    <xdr:pic>
      <xdr:nvPicPr>
        <xdr:cNvPr id="22" name="图片 2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019175" y="4400550"/>
          <a:ext cx="4314825" cy="3422891"/>
        </a:xfrm>
        <a:prstGeom prst="rect">
          <a:avLst/>
        </a:prstGeom>
      </xdr:spPr>
    </xdr:pic>
    <xdr:clientData/>
  </xdr:twoCellAnchor>
  <xdr:twoCellAnchor>
    <xdr:from>
      <xdr:col>3</xdr:col>
      <xdr:colOff>76200</xdr:colOff>
      <xdr:row>45</xdr:row>
      <xdr:rowOff>26604</xdr:rowOff>
    </xdr:from>
    <xdr:to>
      <xdr:col>8</xdr:col>
      <xdr:colOff>561348</xdr:colOff>
      <xdr:row>45</xdr:row>
      <xdr:rowOff>3495119</xdr:rowOff>
    </xdr:to>
    <xdr:pic>
      <xdr:nvPicPr>
        <xdr:cNvPr id="23" name="图片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990600" y="3865179"/>
          <a:ext cx="3914148" cy="3468515"/>
        </a:xfrm>
        <a:prstGeom prst="rect">
          <a:avLst/>
        </a:prstGeom>
      </xdr:spPr>
    </xdr:pic>
    <xdr:clientData/>
  </xdr:twoCellAnchor>
  <xdr:twoCellAnchor>
    <xdr:from>
      <xdr:col>3</xdr:col>
      <xdr:colOff>89785</xdr:colOff>
      <xdr:row>31</xdr:row>
      <xdr:rowOff>57150</xdr:rowOff>
    </xdr:from>
    <xdr:to>
      <xdr:col>6</xdr:col>
      <xdr:colOff>618748</xdr:colOff>
      <xdr:row>31</xdr:row>
      <xdr:rowOff>3666600</xdr:rowOff>
    </xdr:to>
    <xdr:pic>
      <xdr:nvPicPr>
        <xdr:cNvPr id="25" name="图片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1004185" y="3381375"/>
          <a:ext cx="2586363" cy="3609450"/>
        </a:xfrm>
        <a:prstGeom prst="rect">
          <a:avLst/>
        </a:prstGeom>
      </xdr:spPr>
    </xdr:pic>
    <xdr:clientData/>
  </xdr:twoCellAnchor>
  <xdr:twoCellAnchor>
    <xdr:from>
      <xdr:col>8</xdr:col>
      <xdr:colOff>114300</xdr:colOff>
      <xdr:row>45</xdr:row>
      <xdr:rowOff>1133475</xdr:rowOff>
    </xdr:from>
    <xdr:to>
      <xdr:col>11</xdr:col>
      <xdr:colOff>571500</xdr:colOff>
      <xdr:row>45</xdr:row>
      <xdr:rowOff>3048000</xdr:rowOff>
    </xdr:to>
    <xdr:cxnSp macro="">
      <xdr:nvCxnSpPr>
        <xdr:cNvPr id="29" name="直接箭头连接符 28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CxnSpPr/>
      </xdr:nvCxnSpPr>
      <xdr:spPr>
        <a:xfrm flipV="1">
          <a:off x="4457700" y="6000750"/>
          <a:ext cx="2514600" cy="1914525"/>
        </a:xfrm>
        <a:prstGeom prst="straightConnector1">
          <a:avLst/>
        </a:prstGeom>
        <a:ln w="38100">
          <a:solidFill>
            <a:srgbClr val="FF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45</xdr:row>
      <xdr:rowOff>38100</xdr:rowOff>
    </xdr:from>
    <xdr:to>
      <xdr:col>12</xdr:col>
      <xdr:colOff>123552</xdr:colOff>
      <xdr:row>45</xdr:row>
      <xdr:rowOff>1104767</xdr:rowOff>
    </xdr:to>
    <xdr:pic>
      <xdr:nvPicPr>
        <xdr:cNvPr id="30" name="图片 29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5029200" y="4905375"/>
          <a:ext cx="2180952" cy="1066667"/>
        </a:xfrm>
        <a:prstGeom prst="rect">
          <a:avLst/>
        </a:prstGeom>
      </xdr:spPr>
    </xdr:pic>
    <xdr:clientData/>
  </xdr:twoCellAnchor>
  <xdr:twoCellAnchor>
    <xdr:from>
      <xdr:col>3</xdr:col>
      <xdr:colOff>76200</xdr:colOff>
      <xdr:row>47</xdr:row>
      <xdr:rowOff>38100</xdr:rowOff>
    </xdr:from>
    <xdr:to>
      <xdr:col>7</xdr:col>
      <xdr:colOff>628238</xdr:colOff>
      <xdr:row>47</xdr:row>
      <xdr:rowOff>2276195</xdr:rowOff>
    </xdr:to>
    <xdr:pic>
      <xdr:nvPicPr>
        <xdr:cNvPr id="31" name="图片 30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990600" y="5076825"/>
          <a:ext cx="3295238" cy="2238095"/>
        </a:xfrm>
        <a:prstGeom prst="rect">
          <a:avLst/>
        </a:prstGeom>
      </xdr:spPr>
    </xdr:pic>
    <xdr:clientData/>
  </xdr:twoCellAnchor>
  <xdr:twoCellAnchor>
    <xdr:from>
      <xdr:col>9</xdr:col>
      <xdr:colOff>333375</xdr:colOff>
      <xdr:row>51</xdr:row>
      <xdr:rowOff>57150</xdr:rowOff>
    </xdr:from>
    <xdr:to>
      <xdr:col>14</xdr:col>
      <xdr:colOff>190089</xdr:colOff>
      <xdr:row>51</xdr:row>
      <xdr:rowOff>1314293</xdr:rowOff>
    </xdr:to>
    <xdr:pic>
      <xdr:nvPicPr>
        <xdr:cNvPr id="33" name="图片 32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362575" y="11706225"/>
          <a:ext cx="3285714" cy="1257143"/>
        </a:xfrm>
        <a:prstGeom prst="rect">
          <a:avLst/>
        </a:prstGeom>
      </xdr:spPr>
    </xdr:pic>
    <xdr:clientData/>
  </xdr:twoCellAnchor>
  <xdr:twoCellAnchor>
    <xdr:from>
      <xdr:col>8</xdr:col>
      <xdr:colOff>504825</xdr:colOff>
      <xdr:row>51</xdr:row>
      <xdr:rowOff>1333501</xdr:rowOff>
    </xdr:from>
    <xdr:to>
      <xdr:col>12</xdr:col>
      <xdr:colOff>180975</xdr:colOff>
      <xdr:row>51</xdr:row>
      <xdr:rowOff>3171825</xdr:rowOff>
    </xdr:to>
    <xdr:cxnSp macro="">
      <xdr:nvCxnSpPr>
        <xdr:cNvPr id="37" name="肘形连接符 36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V="1">
          <a:off x="4848225" y="12982576"/>
          <a:ext cx="2419350" cy="1838324"/>
        </a:xfrm>
        <a:prstGeom prst="bentConnector3">
          <a:avLst>
            <a:gd name="adj1" fmla="val 100000"/>
          </a:avLst>
        </a:prstGeom>
        <a:ln w="38100">
          <a:solidFill>
            <a:srgbClr val="FF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49</xdr:row>
      <xdr:rowOff>47625</xdr:rowOff>
    </xdr:from>
    <xdr:to>
      <xdr:col>7</xdr:col>
      <xdr:colOff>606730</xdr:colOff>
      <xdr:row>49</xdr:row>
      <xdr:rowOff>1933575</xdr:rowOff>
    </xdr:to>
    <xdr:pic>
      <xdr:nvPicPr>
        <xdr:cNvPr id="4" name="图片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914400" y="30708600"/>
          <a:ext cx="3349930" cy="1885950"/>
        </a:xfrm>
        <a:prstGeom prst="rect">
          <a:avLst/>
        </a:prstGeom>
      </xdr:spPr>
    </xdr:pic>
    <xdr:clientData/>
  </xdr:twoCellAnchor>
  <xdr:twoCellAnchor>
    <xdr:from>
      <xdr:col>7</xdr:col>
      <xdr:colOff>542925</xdr:colOff>
      <xdr:row>48</xdr:row>
      <xdr:rowOff>190501</xdr:rowOff>
    </xdr:from>
    <xdr:to>
      <xdr:col>15</xdr:col>
      <xdr:colOff>583913</xdr:colOff>
      <xdr:row>49</xdr:row>
      <xdr:rowOff>2638425</xdr:rowOff>
    </xdr:to>
    <xdr:pic>
      <xdr:nvPicPr>
        <xdr:cNvPr id="8" name="图片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4200525" y="30641926"/>
          <a:ext cx="5527388" cy="2657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基本">
    <a:dk1>
      <a:srgbClr val="000000"/>
    </a:dk1>
    <a:lt1>
      <a:srgbClr val="FFFFFF"/>
    </a:lt1>
    <a:dk2>
      <a:srgbClr val="D1282E"/>
    </a:dk2>
    <a:lt2>
      <a:srgbClr val="C8C8B1"/>
    </a:lt2>
    <a:accent1>
      <a:srgbClr val="7A7A7A"/>
    </a:accent1>
    <a:accent2>
      <a:srgbClr val="F5C201"/>
    </a:accent2>
    <a:accent3>
      <a:srgbClr val="526DB0"/>
    </a:accent3>
    <a:accent4>
      <a:srgbClr val="989AAC"/>
    </a:accent4>
    <a:accent5>
      <a:srgbClr val="DC5924"/>
    </a:accent5>
    <a:accent6>
      <a:srgbClr val="B4B392"/>
    </a:accent6>
    <a:hlink>
      <a:srgbClr val="CC9900"/>
    </a:hlink>
    <a:folHlink>
      <a:srgbClr val="969696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0" tint="-0.14999847407452621"/>
    <pageSetUpPr fitToPage="1"/>
  </sheetPr>
  <dimension ref="B1:F32"/>
  <sheetViews>
    <sheetView tabSelected="1" zoomScaleNormal="100" workbookViewId="0">
      <selection activeCell="B10" sqref="B10"/>
    </sheetView>
  </sheetViews>
  <sheetFormatPr defaultColWidth="9" defaultRowHeight="14.25"/>
  <cols>
    <col min="1" max="1" width="9" style="59"/>
    <col min="2" max="2" width="12.625" style="59" customWidth="1"/>
    <col min="3" max="3" width="14.75" style="59" customWidth="1"/>
    <col min="4" max="4" width="20" style="59" customWidth="1"/>
    <col min="5" max="5" width="19.75" style="59" customWidth="1"/>
    <col min="6" max="6" width="12" style="59" bestFit="1" customWidth="1"/>
    <col min="7" max="16384" width="9" style="59"/>
  </cols>
  <sheetData>
    <row r="1" spans="2:6">
      <c r="B1" s="58"/>
      <c r="C1" s="58"/>
      <c r="D1" s="58"/>
      <c r="E1" s="58"/>
    </row>
    <row r="2" spans="2:6" ht="20.25">
      <c r="B2" s="58"/>
      <c r="D2" s="60"/>
      <c r="E2" s="60"/>
    </row>
    <row r="3" spans="2:6" ht="20.25">
      <c r="B3" s="85" t="s">
        <v>138</v>
      </c>
      <c r="C3" s="85"/>
      <c r="D3" s="85"/>
      <c r="E3" s="85"/>
    </row>
    <row r="4" spans="2:6">
      <c r="B4" s="58"/>
      <c r="C4" s="58"/>
      <c r="D4" s="58"/>
      <c r="E4" s="58"/>
    </row>
    <row r="5" spans="2:6">
      <c r="B5" s="61" t="s">
        <v>132</v>
      </c>
      <c r="C5" s="86" t="s">
        <v>165</v>
      </c>
      <c r="D5" s="86"/>
      <c r="E5" s="86"/>
    </row>
    <row r="6" spans="2:6">
      <c r="B6" s="61" t="s">
        <v>133</v>
      </c>
      <c r="C6" s="62">
        <v>42138</v>
      </c>
      <c r="D6" s="64" t="s">
        <v>140</v>
      </c>
      <c r="E6" s="63" t="s">
        <v>134</v>
      </c>
    </row>
    <row r="7" spans="2:6">
      <c r="B7" s="61" t="s">
        <v>135</v>
      </c>
      <c r="C7" s="86" t="s">
        <v>166</v>
      </c>
      <c r="D7" s="86"/>
      <c r="E7" s="86"/>
    </row>
    <row r="8" spans="2:6">
      <c r="B8" s="61" t="s">
        <v>136</v>
      </c>
      <c r="C8" s="86" t="s">
        <v>167</v>
      </c>
      <c r="D8" s="86"/>
      <c r="E8" s="86"/>
    </row>
    <row r="9" spans="2:6">
      <c r="B9" s="61" t="s">
        <v>137</v>
      </c>
      <c r="C9" s="86" t="s">
        <v>139</v>
      </c>
      <c r="D9" s="86"/>
      <c r="E9" s="86"/>
    </row>
    <row r="10" spans="2:6">
      <c r="B10" s="61" t="s">
        <v>168</v>
      </c>
      <c r="C10" s="86" t="s">
        <v>169</v>
      </c>
      <c r="D10" s="86"/>
      <c r="E10" s="86"/>
    </row>
    <row r="12" spans="2:6" s="73" customFormat="1">
      <c r="B12" s="74" t="s">
        <v>170</v>
      </c>
      <c r="C12" s="75"/>
      <c r="D12" s="75"/>
      <c r="E12" s="75"/>
      <c r="F12" s="75"/>
    </row>
    <row r="13" spans="2:6" s="73" customFormat="1" ht="15">
      <c r="B13" s="75"/>
      <c r="C13" s="75"/>
      <c r="E13" s="76" t="s">
        <v>171</v>
      </c>
      <c r="F13" s="77" t="s">
        <v>199</v>
      </c>
    </row>
    <row r="14" spans="2:6" s="78" customFormat="1">
      <c r="B14" s="79" t="s">
        <v>172</v>
      </c>
      <c r="C14" s="79" t="s">
        <v>173</v>
      </c>
      <c r="D14" s="89" t="s">
        <v>174</v>
      </c>
      <c r="E14" s="90"/>
      <c r="F14" s="79" t="s">
        <v>175</v>
      </c>
    </row>
    <row r="15" spans="2:6" s="73" customFormat="1">
      <c r="B15" s="80">
        <v>42504</v>
      </c>
      <c r="C15" s="81" t="s">
        <v>176</v>
      </c>
      <c r="D15" s="91" t="s">
        <v>177</v>
      </c>
      <c r="E15" s="92"/>
      <c r="F15" s="81" t="s">
        <v>178</v>
      </c>
    </row>
    <row r="16" spans="2:6" s="73" customFormat="1">
      <c r="B16" s="80"/>
      <c r="C16" s="82"/>
      <c r="D16" s="81"/>
      <c r="E16" s="81"/>
      <c r="F16" s="81"/>
    </row>
    <row r="17" spans="2:6" s="73" customFormat="1">
      <c r="B17" s="80"/>
      <c r="C17" s="82"/>
      <c r="D17" s="81"/>
      <c r="E17" s="81"/>
      <c r="F17" s="81"/>
    </row>
    <row r="18" spans="2:6" s="73" customFormat="1">
      <c r="B18" s="75"/>
      <c r="C18" s="75"/>
      <c r="D18" s="75"/>
      <c r="E18" s="75"/>
      <c r="F18" s="75"/>
    </row>
    <row r="19" spans="2:6" s="73" customFormat="1">
      <c r="B19" s="74" t="s">
        <v>179</v>
      </c>
      <c r="C19" s="75"/>
      <c r="D19" s="75"/>
      <c r="E19" s="75"/>
      <c r="F19" s="75"/>
    </row>
    <row r="20" spans="2:6" s="73" customFormat="1">
      <c r="B20" s="83" t="s">
        <v>180</v>
      </c>
      <c r="C20" s="75"/>
      <c r="D20" s="75"/>
      <c r="E20" s="75"/>
      <c r="F20" s="75"/>
    </row>
    <row r="21" spans="2:6" s="73" customFormat="1">
      <c r="B21" s="79" t="s">
        <v>181</v>
      </c>
      <c r="C21" s="79" t="s">
        <v>182</v>
      </c>
      <c r="D21" s="79" t="s">
        <v>183</v>
      </c>
      <c r="E21" s="79" t="s">
        <v>184</v>
      </c>
      <c r="F21" s="79" t="s">
        <v>185</v>
      </c>
    </row>
    <row r="22" spans="2:6" s="73" customFormat="1">
      <c r="B22" s="84" t="s">
        <v>186</v>
      </c>
      <c r="C22" s="84" t="s">
        <v>187</v>
      </c>
      <c r="D22" s="84" t="s">
        <v>188</v>
      </c>
      <c r="E22" s="80">
        <v>42504</v>
      </c>
      <c r="F22" s="84" t="s">
        <v>189</v>
      </c>
    </row>
    <row r="23" spans="2:6" s="73" customFormat="1">
      <c r="B23" s="84"/>
      <c r="C23" s="84"/>
      <c r="D23" s="84"/>
      <c r="E23" s="80"/>
      <c r="F23" s="84"/>
    </row>
    <row r="24" spans="2:6" s="73" customFormat="1">
      <c r="B24" s="84"/>
      <c r="C24" s="84"/>
      <c r="D24" s="84"/>
      <c r="E24" s="80"/>
      <c r="F24" s="84"/>
    </row>
    <row r="25" spans="2:6" s="73" customFormat="1">
      <c r="B25" s="75"/>
      <c r="C25" s="75"/>
      <c r="D25" s="75"/>
      <c r="E25" s="75"/>
      <c r="F25" s="75"/>
    </row>
    <row r="26" spans="2:6" s="73" customFormat="1">
      <c r="B26" s="74" t="s">
        <v>190</v>
      </c>
      <c r="C26" s="75"/>
      <c r="D26" s="75"/>
      <c r="E26" s="75"/>
      <c r="F26" s="75"/>
    </row>
    <row r="27" spans="2:6" s="73" customFormat="1">
      <c r="B27" s="83" t="s">
        <v>191</v>
      </c>
      <c r="C27" s="75"/>
      <c r="D27" s="75"/>
      <c r="E27" s="75"/>
      <c r="F27" s="75"/>
    </row>
    <row r="28" spans="2:6" s="73" customFormat="1">
      <c r="B28" s="89" t="s">
        <v>192</v>
      </c>
      <c r="C28" s="90"/>
      <c r="D28" s="79" t="s">
        <v>193</v>
      </c>
      <c r="E28" s="79" t="s">
        <v>194</v>
      </c>
      <c r="F28" s="79" t="s">
        <v>195</v>
      </c>
    </row>
    <row r="29" spans="2:6" s="73" customFormat="1">
      <c r="B29" s="87" t="s">
        <v>198</v>
      </c>
      <c r="C29" s="88"/>
      <c r="D29" s="84" t="s">
        <v>196</v>
      </c>
      <c r="E29" s="80">
        <v>42504</v>
      </c>
      <c r="F29" s="84" t="s">
        <v>197</v>
      </c>
    </row>
    <row r="30" spans="2:6" s="73" customFormat="1">
      <c r="B30" s="87"/>
      <c r="C30" s="88"/>
      <c r="D30" s="84"/>
      <c r="E30" s="80"/>
      <c r="F30" s="84"/>
    </row>
    <row r="31" spans="2:6" s="73" customFormat="1">
      <c r="B31" s="87"/>
      <c r="C31" s="88"/>
      <c r="D31" s="84"/>
      <c r="E31" s="80"/>
      <c r="F31" s="84"/>
    </row>
    <row r="32" spans="2:6" s="73" customFormat="1">
      <c r="B32" s="75"/>
      <c r="C32" s="75"/>
      <c r="D32" s="75"/>
      <c r="E32" s="75"/>
      <c r="F32" s="75"/>
    </row>
  </sheetData>
  <mergeCells count="12">
    <mergeCell ref="B31:C31"/>
    <mergeCell ref="D14:E14"/>
    <mergeCell ref="D15:E15"/>
    <mergeCell ref="B28:C28"/>
    <mergeCell ref="B29:C29"/>
    <mergeCell ref="B30:C30"/>
    <mergeCell ref="B3:E3"/>
    <mergeCell ref="C5:E5"/>
    <mergeCell ref="C7:E7"/>
    <mergeCell ref="C10:E10"/>
    <mergeCell ref="C8:E8"/>
    <mergeCell ref="C9:E9"/>
  </mergeCells>
  <phoneticPr fontId="20" type="noConversion"/>
  <pageMargins left="0.74803149606299213" right="0.74803149606299213" top="0.98425196850393704" bottom="0.98425196850393704" header="0.51181102362204722" footer="0.51181102362204722"/>
  <pageSetup paperSize="9" scale="94" orientation="landscape" r:id="rId1"/>
  <headerFooter alignWithMargins="0">
    <oddHeader>&amp;L&amp;"宋体,加粗"问题登记单&amp;CPrince2原创产品团队&amp;R更新日期 &amp;D</oddHeader>
    <oddFooter>&amp;L&amp;F&amp;CPrince2 2009版 OGC版权所有 Prince2论坛 中文翻译&amp;R&amp;P /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0.59999389629810485"/>
    <outlinePr summaryBelow="0" summaryRight="0"/>
  </sheetPr>
  <dimension ref="A1:J36"/>
  <sheetViews>
    <sheetView topLeftCell="A19" workbookViewId="0">
      <selection activeCell="D4" sqref="D4"/>
    </sheetView>
  </sheetViews>
  <sheetFormatPr defaultColWidth="9" defaultRowHeight="13.5" outlineLevelRow="1"/>
  <cols>
    <col min="1" max="1" width="5" customWidth="1"/>
    <col min="2" max="2" width="11.125" customWidth="1"/>
    <col min="3" max="3" width="13.25" customWidth="1"/>
    <col min="4" max="4" width="39.875" customWidth="1"/>
    <col min="5" max="5" width="32.375" customWidth="1"/>
    <col min="7" max="7" width="12.625" customWidth="1"/>
    <col min="8" max="8" width="13.875" customWidth="1"/>
  </cols>
  <sheetData>
    <row r="1" spans="1:10" ht="16.5">
      <c r="A1" s="6"/>
      <c r="B1" s="6"/>
      <c r="C1" s="6"/>
      <c r="D1" s="6"/>
      <c r="E1" s="6"/>
      <c r="F1" s="6"/>
      <c r="G1" s="6"/>
      <c r="H1" s="6"/>
      <c r="I1" s="6"/>
      <c r="J1" s="6"/>
    </row>
    <row r="2" spans="1:10" ht="16.5">
      <c r="A2" s="6"/>
      <c r="B2" s="36" t="s">
        <v>38</v>
      </c>
      <c r="C2" s="6"/>
      <c r="D2" s="6"/>
      <c r="E2" s="6"/>
      <c r="F2" s="6"/>
      <c r="G2" s="6"/>
      <c r="H2" s="6"/>
      <c r="I2" s="6"/>
      <c r="J2" s="6"/>
    </row>
    <row r="3" spans="1:10" ht="16.5">
      <c r="A3" s="6"/>
      <c r="B3" s="3" t="s">
        <v>39</v>
      </c>
      <c r="C3" s="6"/>
      <c r="D3" s="6"/>
      <c r="E3" s="6"/>
      <c r="F3" s="6"/>
      <c r="G3" s="6"/>
      <c r="H3" s="6"/>
      <c r="I3" s="6"/>
      <c r="J3" s="6"/>
    </row>
    <row r="4" spans="1:10" ht="16.5">
      <c r="A4" s="6"/>
      <c r="C4" s="6"/>
      <c r="D4" s="6"/>
      <c r="E4" s="6"/>
      <c r="F4" s="6"/>
      <c r="G4" s="6"/>
      <c r="H4" s="6"/>
      <c r="I4" s="6"/>
      <c r="J4" s="6"/>
    </row>
    <row r="5" spans="1:10" ht="16.5">
      <c r="A5" s="6"/>
      <c r="B5" s="35" t="s">
        <v>27</v>
      </c>
      <c r="C5" s="6"/>
      <c r="D5" s="6"/>
      <c r="E5" s="6"/>
      <c r="F5" s="6"/>
      <c r="G5" s="6"/>
      <c r="H5" s="6"/>
      <c r="I5" s="6"/>
      <c r="J5" s="6"/>
    </row>
    <row r="6" spans="1:10" ht="28.5" customHeight="1" outlineLevel="1">
      <c r="A6" s="6"/>
      <c r="B6" s="32" t="s">
        <v>0</v>
      </c>
      <c r="C6" s="32" t="s">
        <v>1</v>
      </c>
      <c r="D6" s="32" t="s">
        <v>37</v>
      </c>
      <c r="F6" s="6"/>
      <c r="I6" s="6"/>
      <c r="J6" s="6"/>
    </row>
    <row r="7" spans="1:10" ht="16.5" outlineLevel="1">
      <c r="A7" s="6"/>
      <c r="B7" s="7" t="s">
        <v>5</v>
      </c>
      <c r="C7" s="39">
        <v>42433</v>
      </c>
      <c r="D7" s="46" t="s">
        <v>40</v>
      </c>
      <c r="E7" s="6"/>
      <c r="H7" s="6"/>
      <c r="I7" s="6"/>
    </row>
    <row r="8" spans="1:10" ht="16.5" outlineLevel="1">
      <c r="A8" s="6"/>
      <c r="B8" s="7" t="s">
        <v>7</v>
      </c>
      <c r="C8" s="39">
        <v>42545</v>
      </c>
      <c r="D8" s="46" t="s">
        <v>41</v>
      </c>
      <c r="E8" s="6"/>
      <c r="H8" s="6"/>
      <c r="I8" s="6"/>
    </row>
    <row r="9" spans="1:10" ht="16.5" outlineLevel="1">
      <c r="A9" s="6"/>
      <c r="B9" s="7" t="s">
        <v>8</v>
      </c>
      <c r="C9" s="9">
        <f>C8-C7</f>
        <v>112</v>
      </c>
      <c r="D9" s="46" t="s">
        <v>42</v>
      </c>
      <c r="E9" s="6"/>
      <c r="H9" s="6"/>
      <c r="I9" s="6"/>
    </row>
    <row r="10" spans="1:10" ht="16.5" outlineLevel="1">
      <c r="A10" s="6"/>
      <c r="B10" s="7" t="s">
        <v>36</v>
      </c>
      <c r="C10" s="45">
        <v>168000</v>
      </c>
      <c r="D10" s="46" t="s">
        <v>48</v>
      </c>
      <c r="E10" s="6"/>
      <c r="H10" s="6"/>
      <c r="I10" s="6"/>
    </row>
    <row r="11" spans="1:10" ht="16.5" outlineLevel="1">
      <c r="A11" s="6"/>
      <c r="B11" s="33" t="s">
        <v>22</v>
      </c>
      <c r="C11" s="10">
        <v>7</v>
      </c>
      <c r="D11" s="46" t="s">
        <v>43</v>
      </c>
      <c r="E11" s="6"/>
      <c r="H11" s="6"/>
      <c r="I11" s="6"/>
    </row>
    <row r="12" spans="1:10" ht="16.5" outlineLevel="1">
      <c r="A12" s="6"/>
      <c r="B12" s="11" t="s">
        <v>20</v>
      </c>
      <c r="C12" s="12">
        <f>IFERROR(TRUNC(C9/C11+1,0),0)</f>
        <v>17</v>
      </c>
      <c r="D12" s="46" t="s">
        <v>102</v>
      </c>
      <c r="E12" s="6"/>
      <c r="H12" s="6"/>
      <c r="I12" s="6"/>
    </row>
    <row r="13" spans="1:10" ht="16.5" outlineLevel="1">
      <c r="A13" s="6"/>
      <c r="B13" s="6"/>
      <c r="C13" s="6"/>
      <c r="D13" s="6"/>
      <c r="F13" s="6"/>
      <c r="H13" s="14"/>
      <c r="I13" s="6"/>
      <c r="J13" s="6"/>
    </row>
    <row r="14" spans="1:10" ht="16.5">
      <c r="A14" s="6"/>
      <c r="B14" s="35" t="s">
        <v>28</v>
      </c>
      <c r="C14" s="6"/>
      <c r="D14" s="6"/>
      <c r="F14" s="6"/>
      <c r="G14" s="6"/>
      <c r="H14" s="6"/>
      <c r="I14" s="6"/>
      <c r="J14" s="6"/>
    </row>
    <row r="15" spans="1:10" ht="16.5" outlineLevel="1">
      <c r="A15" s="47">
        <f>ROW()</f>
        <v>15</v>
      </c>
      <c r="B15" s="32" t="s">
        <v>26</v>
      </c>
      <c r="C15" s="32" t="s">
        <v>2</v>
      </c>
      <c r="D15" s="32" t="s">
        <v>37</v>
      </c>
      <c r="E15" s="6"/>
      <c r="F15" s="6"/>
      <c r="G15" s="6"/>
      <c r="H15" s="6"/>
      <c r="I15" s="6"/>
      <c r="J15" s="6"/>
    </row>
    <row r="16" spans="1:10" ht="16.5" outlineLevel="1">
      <c r="A16" s="6"/>
      <c r="B16" s="7">
        <f>IF(C16="","",ROW()-$A$15)</f>
        <v>1</v>
      </c>
      <c r="C16" s="8" t="s">
        <v>45</v>
      </c>
      <c r="D16" s="46" t="s">
        <v>47</v>
      </c>
      <c r="E16" s="6"/>
      <c r="F16" s="6"/>
      <c r="G16" s="6"/>
      <c r="H16" s="6"/>
      <c r="I16" s="6"/>
      <c r="J16" s="6"/>
    </row>
    <row r="17" spans="1:10" ht="16.5" outlineLevel="1">
      <c r="A17" s="6"/>
      <c r="B17" s="7">
        <f t="shared" ref="B17:B20" si="0">IF(C17="","",ROW()-$A$15)</f>
        <v>2</v>
      </c>
      <c r="C17" s="8" t="s">
        <v>44</v>
      </c>
      <c r="D17" s="46" t="s">
        <v>49</v>
      </c>
      <c r="E17" s="6"/>
      <c r="F17" s="6"/>
      <c r="G17" s="6"/>
      <c r="H17" s="6"/>
      <c r="I17" s="6"/>
      <c r="J17" s="6"/>
    </row>
    <row r="18" spans="1:10" ht="16.5" outlineLevel="1">
      <c r="A18" s="6"/>
      <c r="B18" s="7">
        <f t="shared" si="0"/>
        <v>3</v>
      </c>
      <c r="C18" s="8" t="s">
        <v>46</v>
      </c>
      <c r="D18" s="46" t="s">
        <v>50</v>
      </c>
      <c r="E18" s="6"/>
      <c r="F18" s="6"/>
      <c r="G18" s="6"/>
      <c r="H18" s="6"/>
      <c r="I18" s="6"/>
      <c r="J18" s="6"/>
    </row>
    <row r="19" spans="1:10" ht="16.5" outlineLevel="1">
      <c r="A19" s="6"/>
      <c r="B19" s="7" t="str">
        <f t="shared" si="0"/>
        <v/>
      </c>
      <c r="C19" s="8"/>
      <c r="D19" s="46"/>
      <c r="E19" s="6"/>
      <c r="F19" s="6"/>
      <c r="G19" s="6"/>
      <c r="H19" s="6"/>
      <c r="I19" s="6"/>
      <c r="J19" s="6"/>
    </row>
    <row r="20" spans="1:10" ht="16.5" outlineLevel="1">
      <c r="A20" s="6"/>
      <c r="B20" s="7" t="str">
        <f t="shared" si="0"/>
        <v/>
      </c>
      <c r="C20" s="8"/>
      <c r="D20" s="46"/>
      <c r="E20" s="6"/>
      <c r="F20" s="6"/>
      <c r="G20" s="6"/>
      <c r="H20" s="6"/>
      <c r="I20" s="6"/>
      <c r="J20" s="6"/>
    </row>
    <row r="21" spans="1:10" ht="16.5" outlineLevel="1">
      <c r="G21" s="6"/>
      <c r="H21" s="6"/>
    </row>
    <row r="22" spans="1:10" ht="16.5">
      <c r="B22" s="36" t="s">
        <v>29</v>
      </c>
      <c r="G22" s="6"/>
      <c r="H22" s="6"/>
    </row>
    <row r="23" spans="1:10" ht="16.5" outlineLevel="1">
      <c r="A23" s="47">
        <f>ROW()</f>
        <v>23</v>
      </c>
      <c r="B23" s="32" t="s">
        <v>26</v>
      </c>
      <c r="C23" s="32" t="s">
        <v>3</v>
      </c>
      <c r="D23" s="32" t="s">
        <v>4</v>
      </c>
      <c r="E23" s="32" t="s">
        <v>37</v>
      </c>
    </row>
    <row r="24" spans="1:10" ht="16.5" outlineLevel="1">
      <c r="B24" s="7">
        <f>IF(C24="","",ROW()-$A$23)</f>
        <v>1</v>
      </c>
      <c r="C24" s="15" t="s">
        <v>14</v>
      </c>
      <c r="D24" s="48">
        <v>0</v>
      </c>
      <c r="E24" s="46" t="s">
        <v>52</v>
      </c>
    </row>
    <row r="25" spans="1:10" ht="16.5" outlineLevel="1">
      <c r="B25" s="7">
        <f t="shared" ref="B25:B28" si="1">IF(C25="","",ROW()-$A$23)</f>
        <v>2</v>
      </c>
      <c r="C25" s="13" t="s">
        <v>6</v>
      </c>
      <c r="D25" s="48">
        <v>0.1</v>
      </c>
      <c r="E25" s="46" t="s">
        <v>53</v>
      </c>
    </row>
    <row r="26" spans="1:10" ht="16.5" outlineLevel="1">
      <c r="B26" s="7">
        <f t="shared" si="1"/>
        <v>3</v>
      </c>
      <c r="C26" s="13" t="s">
        <v>51</v>
      </c>
      <c r="D26" s="48">
        <v>0.2</v>
      </c>
      <c r="E26" s="46" t="s">
        <v>54</v>
      </c>
    </row>
    <row r="27" spans="1:10" ht="16.5" outlineLevel="1">
      <c r="B27" s="7">
        <f t="shared" si="1"/>
        <v>4</v>
      </c>
      <c r="C27" s="13" t="s">
        <v>9</v>
      </c>
      <c r="D27" s="48">
        <v>0.6</v>
      </c>
      <c r="E27" s="46" t="s">
        <v>55</v>
      </c>
    </row>
    <row r="28" spans="1:10" ht="16.5" outlineLevel="1">
      <c r="B28" s="7">
        <f t="shared" si="1"/>
        <v>5</v>
      </c>
      <c r="C28" s="13" t="s">
        <v>10</v>
      </c>
      <c r="D28" s="48">
        <v>1</v>
      </c>
      <c r="E28" s="46" t="s">
        <v>56</v>
      </c>
    </row>
    <row r="29" spans="1:10" outlineLevel="1"/>
    <row r="30" spans="1:10">
      <c r="B30" s="36" t="s">
        <v>30</v>
      </c>
    </row>
    <row r="31" spans="1:10" ht="16.5" outlineLevel="1">
      <c r="A31" s="47">
        <f>ROW()</f>
        <v>31</v>
      </c>
      <c r="B31" s="32" t="s">
        <v>26</v>
      </c>
      <c r="C31" s="34" t="s">
        <v>25</v>
      </c>
      <c r="D31" s="32" t="s">
        <v>37</v>
      </c>
    </row>
    <row r="32" spans="1:10" ht="16.5" outlineLevel="1">
      <c r="B32" s="7">
        <f>IF(C32="","",ROW()-$A$31)</f>
        <v>1</v>
      </c>
      <c r="C32" s="8" t="s">
        <v>31</v>
      </c>
      <c r="D32" s="46" t="s">
        <v>58</v>
      </c>
    </row>
    <row r="33" spans="2:4" ht="16.5" outlineLevel="1">
      <c r="B33" s="7">
        <f t="shared" ref="B33:B36" si="2">IF(C33="","",ROW()-$A$31)</f>
        <v>2</v>
      </c>
      <c r="C33" s="8" t="s">
        <v>33</v>
      </c>
      <c r="D33" s="46" t="s">
        <v>57</v>
      </c>
    </row>
    <row r="34" spans="2:4" ht="16.5" outlineLevel="1">
      <c r="B34" s="7">
        <f t="shared" si="2"/>
        <v>3</v>
      </c>
      <c r="C34" s="8" t="s">
        <v>34</v>
      </c>
      <c r="D34" s="46" t="s">
        <v>59</v>
      </c>
    </row>
    <row r="35" spans="2:4" ht="16.5" outlineLevel="1">
      <c r="B35" s="7">
        <f t="shared" si="2"/>
        <v>4</v>
      </c>
      <c r="C35" s="8" t="s">
        <v>35</v>
      </c>
      <c r="D35" s="46" t="s">
        <v>60</v>
      </c>
    </row>
    <row r="36" spans="2:4" ht="16.5" outlineLevel="1">
      <c r="B36" s="7">
        <f t="shared" si="2"/>
        <v>5</v>
      </c>
      <c r="C36" s="8" t="s">
        <v>32</v>
      </c>
      <c r="D36" s="46" t="s">
        <v>61</v>
      </c>
    </row>
  </sheetData>
  <phoneticPr fontId="21" type="noConversion"/>
  <conditionalFormatting sqref="C23:C26">
    <cfRule type="duplicateValues" dxfId="34" priority="2"/>
  </conditionalFormatting>
  <conditionalFormatting sqref="C31:C36">
    <cfRule type="duplicateValues" dxfId="33" priority="1"/>
  </conditionalFormatting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 tint="0.59999389629810485"/>
  </sheetPr>
  <dimension ref="A1:W20"/>
  <sheetViews>
    <sheetView workbookViewId="0">
      <pane xSplit="6" ySplit="2" topLeftCell="G3" activePane="bottomRight" state="frozen"/>
      <selection activeCell="O29" sqref="O29"/>
      <selection pane="topRight" activeCell="O29" sqref="O29"/>
      <selection pane="bottomLeft" activeCell="O29" sqref="O29"/>
      <selection pane="bottomRight" activeCell="I6" sqref="I6"/>
    </sheetView>
  </sheetViews>
  <sheetFormatPr defaultColWidth="9" defaultRowHeight="16.5"/>
  <cols>
    <col min="1" max="1" width="2.5" style="3" bestFit="1" customWidth="1"/>
    <col min="2" max="2" width="5.375" style="3" customWidth="1"/>
    <col min="3" max="3" width="8" style="3" customWidth="1"/>
    <col min="4" max="4" width="15" style="3" bestFit="1" customWidth="1"/>
    <col min="5" max="5" width="4.875" style="5" bestFit="1" customWidth="1"/>
    <col min="6" max="6" width="6.375" bestFit="1" customWidth="1"/>
    <col min="7" max="7" width="6.75" style="4" bestFit="1" customWidth="1"/>
    <col min="8" max="8" width="6.25" style="3" bestFit="1" customWidth="1"/>
    <col min="9" max="9" width="6.75" style="6" bestFit="1" customWidth="1"/>
    <col min="10" max="10" width="6.25" style="3" bestFit="1" customWidth="1"/>
    <col min="11" max="11" width="6.75" style="6" bestFit="1" customWidth="1"/>
    <col min="12" max="12" width="6.25" style="3" bestFit="1" customWidth="1"/>
    <col min="13" max="13" width="6.75" style="6" bestFit="1" customWidth="1"/>
    <col min="14" max="14" width="6.25" style="3" bestFit="1" customWidth="1"/>
    <col min="15" max="15" width="6.75" style="6" bestFit="1" customWidth="1"/>
    <col min="16" max="16" width="6.25" style="3" bestFit="1" customWidth="1"/>
    <col min="17" max="17" width="6.75" style="6" bestFit="1" customWidth="1"/>
    <col min="18" max="18" width="6.25" style="3" bestFit="1" customWidth="1"/>
    <col min="19" max="19" width="6.75" style="3" bestFit="1" customWidth="1"/>
    <col min="20" max="20" width="6.25" style="3" customWidth="1"/>
    <col min="21" max="21" width="6.75" style="6" bestFit="1" customWidth="1"/>
    <col min="22" max="22" width="6.25" style="3" bestFit="1" customWidth="1"/>
    <col min="23" max="23" width="24.125" style="3" bestFit="1" customWidth="1"/>
    <col min="24" max="16384" width="9" style="3"/>
  </cols>
  <sheetData>
    <row r="1" spans="1:23" ht="21.75" thickBot="1">
      <c r="B1" s="44" t="s">
        <v>119</v>
      </c>
      <c r="G1" s="6"/>
    </row>
    <row r="2" spans="1:23" s="38" customFormat="1" ht="26.1" customHeight="1" thickBot="1">
      <c r="A2" s="49">
        <f>ROW()</f>
        <v>2</v>
      </c>
      <c r="B2" s="22" t="s">
        <v>23</v>
      </c>
      <c r="C2" s="22" t="s">
        <v>11</v>
      </c>
      <c r="D2" s="22" t="s">
        <v>12</v>
      </c>
      <c r="E2" s="22" t="s">
        <v>13</v>
      </c>
      <c r="F2" s="22" t="s">
        <v>24</v>
      </c>
      <c r="G2" s="41">
        <v>1</v>
      </c>
      <c r="H2" s="53">
        <f>VLOOKUP(G2,进度分析!$B:$C,2,FALSE)</f>
        <v>42433</v>
      </c>
      <c r="I2" s="41">
        <v>2</v>
      </c>
      <c r="J2" s="53">
        <f>VLOOKUP(I2,进度分析!$B:$C,2,FALSE)</f>
        <v>42440</v>
      </c>
      <c r="K2" s="41">
        <v>3</v>
      </c>
      <c r="L2" s="53">
        <f>VLOOKUP(K2,进度分析!$B:$C,2,FALSE)</f>
        <v>42447</v>
      </c>
      <c r="M2" s="41">
        <v>4</v>
      </c>
      <c r="N2" s="53">
        <f>VLOOKUP(M2,进度分析!$B:$C,2,FALSE)</f>
        <v>42454</v>
      </c>
      <c r="O2" s="41">
        <v>5</v>
      </c>
      <c r="P2" s="53">
        <f>VLOOKUP(O2,进度分析!$B:$C,2,FALSE)</f>
        <v>42461</v>
      </c>
      <c r="Q2" s="41">
        <v>6</v>
      </c>
      <c r="R2" s="53">
        <f>VLOOKUP(Q2,进度分析!$B:$C,2,FALSE)</f>
        <v>42468</v>
      </c>
      <c r="S2" s="41">
        <v>7</v>
      </c>
      <c r="T2" s="53">
        <f>VLOOKUP(S2,进度分析!$B:$C,2,FALSE)</f>
        <v>42475</v>
      </c>
      <c r="U2" s="41">
        <v>8</v>
      </c>
      <c r="V2" s="53">
        <f>VLOOKUP(U2,进度分析!$B:$C,2,FALSE)</f>
        <v>42482</v>
      </c>
      <c r="W2" s="37" t="s">
        <v>15</v>
      </c>
    </row>
    <row r="3" spans="1:23" s="1" customFormat="1">
      <c r="B3" s="18">
        <f>IF(D3="","",ROW()-$A$2)</f>
        <v>1</v>
      </c>
      <c r="C3" s="19" t="s">
        <v>64</v>
      </c>
      <c r="D3" s="19" t="s">
        <v>65</v>
      </c>
      <c r="E3" s="21">
        <v>3</v>
      </c>
      <c r="F3" s="19" t="s">
        <v>93</v>
      </c>
      <c r="G3" s="19" t="s">
        <v>14</v>
      </c>
      <c r="H3" s="20">
        <f>VLOOKUP(G3,基本信息!$C$23:$D$28,2,FALSE)</f>
        <v>0</v>
      </c>
      <c r="I3" s="19" t="s">
        <v>6</v>
      </c>
      <c r="J3" s="20">
        <f>VLOOKUP(I3,基本信息!$C$23:$D$28,2,FALSE)</f>
        <v>0.1</v>
      </c>
      <c r="K3" s="19" t="s">
        <v>83</v>
      </c>
      <c r="L3" s="20">
        <f>VLOOKUP(K3,基本信息!$C$23:$D$28,2,FALSE)</f>
        <v>0.2</v>
      </c>
      <c r="M3" s="19" t="s">
        <v>9</v>
      </c>
      <c r="N3" s="20">
        <f>VLOOKUP(M3,基本信息!$C$23:$D$28,2,FALSE)</f>
        <v>0.6</v>
      </c>
      <c r="O3" s="19" t="s">
        <v>9</v>
      </c>
      <c r="P3" s="20">
        <f>VLOOKUP(O3,基本信息!$C$23:$D$28,2,FALSE)</f>
        <v>0.6</v>
      </c>
      <c r="Q3" s="19" t="s">
        <v>9</v>
      </c>
      <c r="R3" s="20">
        <f>VLOOKUP(Q3,基本信息!$C$23:$D$28,2,FALSE)</f>
        <v>0.6</v>
      </c>
      <c r="S3" s="19" t="s">
        <v>9</v>
      </c>
      <c r="T3" s="20">
        <f>VLOOKUP(S3,基本信息!$C$23:$D$28,2,FALSE)</f>
        <v>0.6</v>
      </c>
      <c r="U3" s="19" t="s">
        <v>10</v>
      </c>
      <c r="V3" s="20">
        <f>VLOOKUP(U3,基本信息!$C$23:$D$28,2,FALSE)</f>
        <v>1</v>
      </c>
    </row>
    <row r="4" spans="1:23" s="1" customFormat="1">
      <c r="B4" s="18">
        <f t="shared" ref="B4:B17" si="0">IF(D4="","",ROW()-$A$2)</f>
        <v>2</v>
      </c>
      <c r="C4" s="19" t="s">
        <v>64</v>
      </c>
      <c r="D4" s="19" t="s">
        <v>66</v>
      </c>
      <c r="E4" s="21">
        <v>4</v>
      </c>
      <c r="F4" s="19" t="s">
        <v>93</v>
      </c>
      <c r="G4" s="19" t="s">
        <v>14</v>
      </c>
      <c r="H4" s="20">
        <f>VLOOKUP(G4,基本信息!$C$23:$D$28,2,FALSE)</f>
        <v>0</v>
      </c>
      <c r="I4" s="19" t="s">
        <v>6</v>
      </c>
      <c r="J4" s="20">
        <f>VLOOKUP(I4,基本信息!$C$23:$D$28,2,FALSE)</f>
        <v>0.1</v>
      </c>
      <c r="K4" s="19" t="s">
        <v>83</v>
      </c>
      <c r="L4" s="20">
        <f>VLOOKUP(K4,基本信息!$C$23:$D$28,2,FALSE)</f>
        <v>0.2</v>
      </c>
      <c r="M4" s="19" t="s">
        <v>83</v>
      </c>
      <c r="N4" s="20">
        <f>VLOOKUP(M4,基本信息!$C$23:$D$28,2,FALSE)</f>
        <v>0.2</v>
      </c>
      <c r="O4" s="19" t="s">
        <v>9</v>
      </c>
      <c r="P4" s="20">
        <f>VLOOKUP(O4,基本信息!$C$23:$D$28,2,FALSE)</f>
        <v>0.6</v>
      </c>
      <c r="Q4" s="19" t="s">
        <v>9</v>
      </c>
      <c r="R4" s="20">
        <f>VLOOKUP(Q4,基本信息!$C$23:$D$28,2,FALSE)</f>
        <v>0.6</v>
      </c>
      <c r="S4" s="19" t="s">
        <v>9</v>
      </c>
      <c r="T4" s="20">
        <f>VLOOKUP(S4,基本信息!$C$23:$D$28,2,FALSE)</f>
        <v>0.6</v>
      </c>
      <c r="U4" s="19" t="s">
        <v>9</v>
      </c>
      <c r="V4" s="20">
        <f>VLOOKUP(U4,基本信息!$C$23:$D$28,2,FALSE)</f>
        <v>0.6</v>
      </c>
    </row>
    <row r="5" spans="1:23" s="1" customFormat="1">
      <c r="B5" s="18">
        <f t="shared" si="0"/>
        <v>3</v>
      </c>
      <c r="C5" s="19" t="s">
        <v>64</v>
      </c>
      <c r="D5" s="19" t="s">
        <v>67</v>
      </c>
      <c r="E5" s="21">
        <v>5</v>
      </c>
      <c r="F5" s="19" t="s">
        <v>94</v>
      </c>
      <c r="G5" s="19" t="s">
        <v>14</v>
      </c>
      <c r="H5" s="20">
        <f>VLOOKUP(G5,基本信息!$C$23:$D$28,2,FALSE)</f>
        <v>0</v>
      </c>
      <c r="I5" s="19" t="s">
        <v>6</v>
      </c>
      <c r="J5" s="20">
        <f>VLOOKUP(I5,基本信息!$C$23:$D$28,2,FALSE)</f>
        <v>0.1</v>
      </c>
      <c r="K5" s="19" t="s">
        <v>6</v>
      </c>
      <c r="L5" s="20">
        <f>VLOOKUP(K5,基本信息!$C$23:$D$28,2,FALSE)</f>
        <v>0.1</v>
      </c>
      <c r="M5" s="19" t="s">
        <v>83</v>
      </c>
      <c r="N5" s="20">
        <f>VLOOKUP(M5,基本信息!$C$23:$D$28,2,FALSE)</f>
        <v>0.2</v>
      </c>
      <c r="O5" s="19" t="s">
        <v>83</v>
      </c>
      <c r="P5" s="20">
        <f>VLOOKUP(O5,基本信息!$C$23:$D$28,2,FALSE)</f>
        <v>0.2</v>
      </c>
      <c r="Q5" s="19" t="s">
        <v>83</v>
      </c>
      <c r="R5" s="20">
        <f>VLOOKUP(Q5,基本信息!$C$23:$D$28,2,FALSE)</f>
        <v>0.2</v>
      </c>
      <c r="S5" s="19" t="s">
        <v>9</v>
      </c>
      <c r="T5" s="20">
        <f>VLOOKUP(S5,基本信息!$C$23:$D$28,2,FALSE)</f>
        <v>0.6</v>
      </c>
      <c r="U5" s="19" t="s">
        <v>9</v>
      </c>
      <c r="V5" s="20">
        <f>VLOOKUP(U5,基本信息!$C$23:$D$28,2,FALSE)</f>
        <v>0.6</v>
      </c>
    </row>
    <row r="6" spans="1:23" s="1" customFormat="1">
      <c r="B6" s="18">
        <f t="shared" si="0"/>
        <v>4</v>
      </c>
      <c r="C6" s="19" t="s">
        <v>64</v>
      </c>
      <c r="D6" s="19" t="s">
        <v>68</v>
      </c>
      <c r="E6" s="21">
        <v>5</v>
      </c>
      <c r="F6" s="19" t="s">
        <v>95</v>
      </c>
      <c r="G6" s="19" t="s">
        <v>14</v>
      </c>
      <c r="H6" s="20">
        <f>VLOOKUP(G6,基本信息!$C$23:$D$28,2,FALSE)</f>
        <v>0</v>
      </c>
      <c r="I6" s="19" t="s">
        <v>6</v>
      </c>
      <c r="J6" s="20">
        <f>VLOOKUP(I6,基本信息!$C$23:$D$28,2,FALSE)</f>
        <v>0.1</v>
      </c>
      <c r="K6" s="19" t="s">
        <v>6</v>
      </c>
      <c r="L6" s="20">
        <f>VLOOKUP(K6,基本信息!$C$23:$D$28,2,FALSE)</f>
        <v>0.1</v>
      </c>
      <c r="M6" s="19" t="s">
        <v>6</v>
      </c>
      <c r="N6" s="20">
        <f>VLOOKUP(M6,基本信息!$C$23:$D$28,2,FALSE)</f>
        <v>0.1</v>
      </c>
      <c r="O6" s="19" t="s">
        <v>6</v>
      </c>
      <c r="P6" s="20">
        <f>VLOOKUP(O6,基本信息!$C$23:$D$28,2,FALSE)</f>
        <v>0.1</v>
      </c>
      <c r="Q6" s="19" t="s">
        <v>83</v>
      </c>
      <c r="R6" s="20">
        <f>VLOOKUP(Q6,基本信息!$C$23:$D$28,2,FALSE)</f>
        <v>0.2</v>
      </c>
      <c r="S6" s="19" t="s">
        <v>83</v>
      </c>
      <c r="T6" s="20">
        <f>VLOOKUP(S6,基本信息!$C$23:$D$28,2,FALSE)</f>
        <v>0.2</v>
      </c>
      <c r="U6" s="19" t="s">
        <v>83</v>
      </c>
      <c r="V6" s="20">
        <f>VLOOKUP(U6,基本信息!$C$23:$D$28,2,FALSE)</f>
        <v>0.2</v>
      </c>
    </row>
    <row r="7" spans="1:23" s="1" customFormat="1">
      <c r="B7" s="18">
        <f t="shared" si="0"/>
        <v>5</v>
      </c>
      <c r="C7" s="19" t="s">
        <v>64</v>
      </c>
      <c r="D7" s="19" t="s">
        <v>69</v>
      </c>
      <c r="E7" s="21">
        <v>5</v>
      </c>
      <c r="F7" s="19" t="s">
        <v>96</v>
      </c>
      <c r="G7" s="19" t="s">
        <v>14</v>
      </c>
      <c r="H7" s="20">
        <f>VLOOKUP(G7,基本信息!$C$23:$D$28,2,FALSE)</f>
        <v>0</v>
      </c>
      <c r="I7" s="19" t="s">
        <v>6</v>
      </c>
      <c r="J7" s="20">
        <f>VLOOKUP(I7,基本信息!$C$23:$D$28,2,FALSE)</f>
        <v>0.1</v>
      </c>
      <c r="K7" s="19" t="s">
        <v>6</v>
      </c>
      <c r="L7" s="20">
        <f>VLOOKUP(K7,基本信息!$C$23:$D$28,2,FALSE)</f>
        <v>0.1</v>
      </c>
      <c r="M7" s="19" t="s">
        <v>83</v>
      </c>
      <c r="N7" s="20">
        <f>VLOOKUP(M7,基本信息!$C$23:$D$28,2,FALSE)</f>
        <v>0.2</v>
      </c>
      <c r="O7" s="19" t="s">
        <v>83</v>
      </c>
      <c r="P7" s="20">
        <f>VLOOKUP(O7,基本信息!$C$23:$D$28,2,FALSE)</f>
        <v>0.2</v>
      </c>
      <c r="Q7" s="19" t="s">
        <v>6</v>
      </c>
      <c r="R7" s="20">
        <f>VLOOKUP(Q7,基本信息!$C$23:$D$28,2,FALSE)</f>
        <v>0.1</v>
      </c>
      <c r="S7" s="19" t="s">
        <v>6</v>
      </c>
      <c r="T7" s="20">
        <f>VLOOKUP(S7,基本信息!$C$23:$D$28,2,FALSE)</f>
        <v>0.1</v>
      </c>
      <c r="U7" s="19" t="s">
        <v>6</v>
      </c>
      <c r="V7" s="20">
        <f>VLOOKUP(U7,基本信息!$C$23:$D$28,2,FALSE)</f>
        <v>0.1</v>
      </c>
    </row>
    <row r="8" spans="1:23">
      <c r="B8" s="18">
        <f t="shared" si="0"/>
        <v>6</v>
      </c>
      <c r="C8" s="19" t="s">
        <v>64</v>
      </c>
      <c r="D8" s="19" t="s">
        <v>70</v>
      </c>
      <c r="E8" s="21">
        <v>5</v>
      </c>
      <c r="F8" s="19" t="s">
        <v>97</v>
      </c>
      <c r="G8" s="19" t="s">
        <v>14</v>
      </c>
      <c r="H8" s="20">
        <f>VLOOKUP(G8,基本信息!$C$23:$D$28,2,FALSE)</f>
        <v>0</v>
      </c>
      <c r="I8" s="19" t="s">
        <v>6</v>
      </c>
      <c r="J8" s="20">
        <f>VLOOKUP(I8,基本信息!$C$23:$D$28,2,FALSE)</f>
        <v>0.1</v>
      </c>
      <c r="K8" s="19" t="s">
        <v>6</v>
      </c>
      <c r="L8" s="20">
        <f>VLOOKUP(K8,基本信息!$C$23:$D$28,2,FALSE)</f>
        <v>0.1</v>
      </c>
      <c r="M8" s="19" t="s">
        <v>6</v>
      </c>
      <c r="N8" s="20">
        <f>VLOOKUP(M8,基本信息!$C$23:$D$28,2,FALSE)</f>
        <v>0.1</v>
      </c>
      <c r="O8" s="19" t="s">
        <v>6</v>
      </c>
      <c r="P8" s="20">
        <f>VLOOKUP(O8,基本信息!$C$23:$D$28,2,FALSE)</f>
        <v>0.1</v>
      </c>
      <c r="Q8" s="19" t="s">
        <v>6</v>
      </c>
      <c r="R8" s="20">
        <f>VLOOKUP(Q8,基本信息!$C$23:$D$28,2,FALSE)</f>
        <v>0.1</v>
      </c>
      <c r="S8" s="19" t="s">
        <v>6</v>
      </c>
      <c r="T8" s="20">
        <f>VLOOKUP(S8,基本信息!$C$23:$D$28,2,FALSE)</f>
        <v>0.1</v>
      </c>
      <c r="U8" s="19" t="s">
        <v>6</v>
      </c>
      <c r="V8" s="20">
        <f>VLOOKUP(U8,基本信息!$C$23:$D$28,2,FALSE)</f>
        <v>0.1</v>
      </c>
    </row>
    <row r="9" spans="1:23">
      <c r="B9" s="18">
        <f t="shared" si="0"/>
        <v>7</v>
      </c>
      <c r="C9" s="19" t="s">
        <v>64</v>
      </c>
      <c r="D9" s="19" t="s">
        <v>71</v>
      </c>
      <c r="E9" s="21">
        <v>6</v>
      </c>
      <c r="F9" s="19" t="s">
        <v>98</v>
      </c>
      <c r="G9" s="19" t="s">
        <v>14</v>
      </c>
      <c r="H9" s="20">
        <f>VLOOKUP(G9,基本信息!$C$23:$D$28,2,FALSE)</f>
        <v>0</v>
      </c>
      <c r="I9" s="19" t="s">
        <v>6</v>
      </c>
      <c r="J9" s="20">
        <f>VLOOKUP(I9,基本信息!$C$23:$D$28,2,FALSE)</f>
        <v>0.1</v>
      </c>
      <c r="K9" s="19" t="s">
        <v>6</v>
      </c>
      <c r="L9" s="20">
        <f>VLOOKUP(K9,基本信息!$C$23:$D$28,2,FALSE)</f>
        <v>0.1</v>
      </c>
      <c r="M9" s="19" t="s">
        <v>6</v>
      </c>
      <c r="N9" s="20">
        <f>VLOOKUP(M9,基本信息!$C$23:$D$28,2,FALSE)</f>
        <v>0.1</v>
      </c>
      <c r="O9" s="19" t="s">
        <v>6</v>
      </c>
      <c r="P9" s="20">
        <f>VLOOKUP(O9,基本信息!$C$23:$D$28,2,FALSE)</f>
        <v>0.1</v>
      </c>
      <c r="Q9" s="19" t="s">
        <v>14</v>
      </c>
      <c r="R9" s="20">
        <f>VLOOKUP(Q9,基本信息!$C$23:$D$28,2,FALSE)</f>
        <v>0</v>
      </c>
      <c r="S9" s="19" t="s">
        <v>14</v>
      </c>
      <c r="T9" s="20">
        <f>VLOOKUP(S9,基本信息!$C$23:$D$28,2,FALSE)</f>
        <v>0</v>
      </c>
      <c r="U9" s="19" t="s">
        <v>14</v>
      </c>
      <c r="V9" s="20">
        <f>VLOOKUP(U9,基本信息!$C$23:$D$28,2,FALSE)</f>
        <v>0</v>
      </c>
    </row>
    <row r="10" spans="1:23">
      <c r="B10" s="18">
        <f t="shared" si="0"/>
        <v>8</v>
      </c>
      <c r="C10" s="19" t="s">
        <v>64</v>
      </c>
      <c r="D10" s="19" t="s">
        <v>72</v>
      </c>
      <c r="E10" s="21">
        <v>6</v>
      </c>
      <c r="F10" s="19" t="s">
        <v>99</v>
      </c>
      <c r="G10" s="19" t="s">
        <v>14</v>
      </c>
      <c r="H10" s="20">
        <f>VLOOKUP(G10,基本信息!$C$23:$D$28,2,FALSE)</f>
        <v>0</v>
      </c>
      <c r="I10" s="19" t="s">
        <v>6</v>
      </c>
      <c r="J10" s="20">
        <f>VLOOKUP(I10,基本信息!$C$23:$D$28,2,FALSE)</f>
        <v>0.1</v>
      </c>
      <c r="K10" s="19" t="s">
        <v>83</v>
      </c>
      <c r="L10" s="20">
        <f>VLOOKUP(K10,基本信息!$C$23:$D$28,2,FALSE)</f>
        <v>0.2</v>
      </c>
      <c r="M10" s="19" t="s">
        <v>9</v>
      </c>
      <c r="N10" s="20">
        <f>VLOOKUP(M10,基本信息!$C$23:$D$28,2,FALSE)</f>
        <v>0.6</v>
      </c>
      <c r="O10" s="19" t="s">
        <v>9</v>
      </c>
      <c r="P10" s="20">
        <f>VLOOKUP(O10,基本信息!$C$23:$D$28,2,FALSE)</f>
        <v>0.6</v>
      </c>
      <c r="Q10" s="19" t="s">
        <v>9</v>
      </c>
      <c r="R10" s="20">
        <f>VLOOKUP(Q10,基本信息!$C$23:$D$28,2,FALSE)</f>
        <v>0.6</v>
      </c>
      <c r="S10" s="19" t="s">
        <v>9</v>
      </c>
      <c r="T10" s="20">
        <f>VLOOKUP(S10,基本信息!$C$23:$D$28,2,FALSE)</f>
        <v>0.6</v>
      </c>
      <c r="U10" s="19" t="s">
        <v>9</v>
      </c>
      <c r="V10" s="20">
        <f>VLOOKUP(U10,基本信息!$C$23:$D$28,2,FALSE)</f>
        <v>0.6</v>
      </c>
    </row>
    <row r="11" spans="1:23">
      <c r="B11" s="18">
        <f t="shared" si="0"/>
        <v>9</v>
      </c>
      <c r="C11" s="19" t="s">
        <v>64</v>
      </c>
      <c r="D11" s="19" t="s">
        <v>73</v>
      </c>
      <c r="E11" s="21">
        <v>6</v>
      </c>
      <c r="F11" s="19" t="s">
        <v>100</v>
      </c>
      <c r="G11" s="19" t="s">
        <v>14</v>
      </c>
      <c r="H11" s="20">
        <f>VLOOKUP(G11,基本信息!$C$23:$D$28,2,FALSE)</f>
        <v>0</v>
      </c>
      <c r="I11" s="19" t="s">
        <v>6</v>
      </c>
      <c r="J11" s="20">
        <f>VLOOKUP(I11,基本信息!$C$23:$D$28,2,FALSE)</f>
        <v>0.1</v>
      </c>
      <c r="K11" s="19" t="s">
        <v>9</v>
      </c>
      <c r="L11" s="20">
        <f>VLOOKUP(K11,基本信息!$C$23:$D$28,2,FALSE)</f>
        <v>0.6</v>
      </c>
      <c r="M11" s="19" t="s">
        <v>9</v>
      </c>
      <c r="N11" s="20">
        <f>VLOOKUP(M11,基本信息!$C$23:$D$28,2,FALSE)</f>
        <v>0.6</v>
      </c>
      <c r="O11" s="19" t="s">
        <v>9</v>
      </c>
      <c r="P11" s="20">
        <f>VLOOKUP(O11,基本信息!$C$23:$D$28,2,FALSE)</f>
        <v>0.6</v>
      </c>
      <c r="Q11" s="19" t="s">
        <v>83</v>
      </c>
      <c r="R11" s="20">
        <f>VLOOKUP(Q11,基本信息!$C$23:$D$28,2,FALSE)</f>
        <v>0.2</v>
      </c>
      <c r="S11" s="19" t="s">
        <v>83</v>
      </c>
      <c r="T11" s="20">
        <f>VLOOKUP(S11,基本信息!$C$23:$D$28,2,FALSE)</f>
        <v>0.2</v>
      </c>
      <c r="U11" s="19" t="s">
        <v>9</v>
      </c>
      <c r="V11" s="20">
        <f>VLOOKUP(U11,基本信息!$C$23:$D$28,2,FALSE)</f>
        <v>0.6</v>
      </c>
    </row>
    <row r="12" spans="1:23">
      <c r="B12" s="18">
        <f t="shared" si="0"/>
        <v>10</v>
      </c>
      <c r="C12" s="19" t="s">
        <v>64</v>
      </c>
      <c r="D12" s="19" t="s">
        <v>74</v>
      </c>
      <c r="E12" s="21">
        <v>6</v>
      </c>
      <c r="F12" s="19" t="s">
        <v>100</v>
      </c>
      <c r="G12" s="19" t="s">
        <v>14</v>
      </c>
      <c r="H12" s="20">
        <f>VLOOKUP(G12,基本信息!$C$23:$D$28,2,FALSE)</f>
        <v>0</v>
      </c>
      <c r="I12" s="19" t="s">
        <v>6</v>
      </c>
      <c r="J12" s="20">
        <f>VLOOKUP(I12,基本信息!$C$23:$D$28,2,FALSE)</f>
        <v>0.1</v>
      </c>
      <c r="K12" s="19" t="s">
        <v>83</v>
      </c>
      <c r="L12" s="20">
        <f>VLOOKUP(K12,基本信息!$C$23:$D$28,2,FALSE)</f>
        <v>0.2</v>
      </c>
      <c r="M12" s="19" t="s">
        <v>83</v>
      </c>
      <c r="N12" s="20">
        <f>VLOOKUP(M12,基本信息!$C$23:$D$28,2,FALSE)</f>
        <v>0.2</v>
      </c>
      <c r="O12" s="19" t="s">
        <v>9</v>
      </c>
      <c r="P12" s="20">
        <f>VLOOKUP(O12,基本信息!$C$23:$D$28,2,FALSE)</f>
        <v>0.6</v>
      </c>
      <c r="Q12" s="19" t="s">
        <v>6</v>
      </c>
      <c r="R12" s="20">
        <f>VLOOKUP(Q12,基本信息!$C$23:$D$28,2,FALSE)</f>
        <v>0.1</v>
      </c>
      <c r="S12" s="19" t="s">
        <v>6</v>
      </c>
      <c r="T12" s="20">
        <f>VLOOKUP(S12,基本信息!$C$23:$D$28,2,FALSE)</f>
        <v>0.1</v>
      </c>
      <c r="U12" s="19" t="s">
        <v>6</v>
      </c>
      <c r="V12" s="20">
        <f>VLOOKUP(U12,基本信息!$C$23:$D$28,2,FALSE)</f>
        <v>0.1</v>
      </c>
    </row>
    <row r="13" spans="1:23">
      <c r="B13" s="18">
        <f t="shared" si="0"/>
        <v>11</v>
      </c>
      <c r="C13" s="19" t="s">
        <v>80</v>
      </c>
      <c r="D13" s="19" t="s">
        <v>75</v>
      </c>
      <c r="E13" s="21">
        <v>8</v>
      </c>
      <c r="F13" s="19" t="s">
        <v>94</v>
      </c>
      <c r="G13" s="19" t="s">
        <v>14</v>
      </c>
      <c r="H13" s="20">
        <f>VLOOKUP(G13,基本信息!$C$23:$D$28,2,FALSE)</f>
        <v>0</v>
      </c>
      <c r="I13" s="19" t="s">
        <v>14</v>
      </c>
      <c r="J13" s="20">
        <f>VLOOKUP(I13,基本信息!$C$23:$D$28,2,FALSE)</f>
        <v>0</v>
      </c>
      <c r="K13" s="19" t="s">
        <v>14</v>
      </c>
      <c r="L13" s="20">
        <f>VLOOKUP(K13,基本信息!$C$23:$D$28,2,FALSE)</f>
        <v>0</v>
      </c>
      <c r="M13" s="19" t="s">
        <v>14</v>
      </c>
      <c r="N13" s="20">
        <f>VLOOKUP(M13,基本信息!$C$23:$D$28,2,FALSE)</f>
        <v>0</v>
      </c>
      <c r="O13" s="19" t="s">
        <v>14</v>
      </c>
      <c r="P13" s="20">
        <f>VLOOKUP(O13,基本信息!$C$23:$D$28,2,FALSE)</f>
        <v>0</v>
      </c>
      <c r="Q13" s="19" t="s">
        <v>6</v>
      </c>
      <c r="R13" s="20">
        <f>VLOOKUP(Q13,基本信息!$C$23:$D$28,2,FALSE)</f>
        <v>0.1</v>
      </c>
      <c r="S13" s="19" t="s">
        <v>6</v>
      </c>
      <c r="T13" s="20">
        <f>VLOOKUP(S13,基本信息!$C$23:$D$28,2,FALSE)</f>
        <v>0.1</v>
      </c>
      <c r="U13" s="19" t="s">
        <v>6</v>
      </c>
      <c r="V13" s="20">
        <f>VLOOKUP(U13,基本信息!$C$23:$D$28,2,FALSE)</f>
        <v>0.1</v>
      </c>
    </row>
    <row r="14" spans="1:23">
      <c r="B14" s="18">
        <f t="shared" si="0"/>
        <v>12</v>
      </c>
      <c r="C14" s="19" t="s">
        <v>80</v>
      </c>
      <c r="D14" s="19" t="s">
        <v>76</v>
      </c>
      <c r="E14" s="21">
        <v>8</v>
      </c>
      <c r="F14" s="19" t="s">
        <v>97</v>
      </c>
      <c r="G14" s="19" t="s">
        <v>14</v>
      </c>
      <c r="H14" s="20">
        <f>VLOOKUP(G14,基本信息!$C$23:$D$28,2,FALSE)</f>
        <v>0</v>
      </c>
      <c r="I14" s="19" t="s">
        <v>14</v>
      </c>
      <c r="J14" s="20">
        <f>VLOOKUP(I14,基本信息!$C$23:$D$28,2,FALSE)</f>
        <v>0</v>
      </c>
      <c r="K14" s="19" t="s">
        <v>14</v>
      </c>
      <c r="L14" s="20">
        <f>VLOOKUP(K14,基本信息!$C$23:$D$28,2,FALSE)</f>
        <v>0</v>
      </c>
      <c r="M14" s="19" t="s">
        <v>14</v>
      </c>
      <c r="N14" s="20">
        <f>VLOOKUP(M14,基本信息!$C$23:$D$28,2,FALSE)</f>
        <v>0</v>
      </c>
      <c r="O14" s="19" t="s">
        <v>14</v>
      </c>
      <c r="P14" s="20">
        <f>VLOOKUP(O14,基本信息!$C$23:$D$28,2,FALSE)</f>
        <v>0</v>
      </c>
      <c r="Q14" s="19" t="s">
        <v>14</v>
      </c>
      <c r="R14" s="20">
        <f>VLOOKUP(Q14,基本信息!$C$23:$D$28,2,FALSE)</f>
        <v>0</v>
      </c>
      <c r="S14" s="19" t="s">
        <v>6</v>
      </c>
      <c r="T14" s="20">
        <f>VLOOKUP(S14,基本信息!$C$23:$D$28,2,FALSE)</f>
        <v>0.1</v>
      </c>
      <c r="U14" s="19" t="s">
        <v>6</v>
      </c>
      <c r="V14" s="20">
        <f>VLOOKUP(U14,基本信息!$C$23:$D$28,2,FALSE)</f>
        <v>0.1</v>
      </c>
    </row>
    <row r="15" spans="1:23">
      <c r="B15" s="18">
        <f t="shared" si="0"/>
        <v>13</v>
      </c>
      <c r="C15" s="19" t="s">
        <v>80</v>
      </c>
      <c r="D15" s="19" t="s">
        <v>77</v>
      </c>
      <c r="E15" s="21">
        <v>9</v>
      </c>
      <c r="F15" s="19" t="s">
        <v>98</v>
      </c>
      <c r="G15" s="19" t="s">
        <v>14</v>
      </c>
      <c r="H15" s="20">
        <f>VLOOKUP(G15,基本信息!$C$23:$D$28,2,FALSE)</f>
        <v>0</v>
      </c>
      <c r="I15" s="19" t="s">
        <v>14</v>
      </c>
      <c r="J15" s="20">
        <f>VLOOKUP(I15,基本信息!$C$23:$D$28,2,FALSE)</f>
        <v>0</v>
      </c>
      <c r="K15" s="19" t="s">
        <v>14</v>
      </c>
      <c r="L15" s="20">
        <f>VLOOKUP(K15,基本信息!$C$23:$D$28,2,FALSE)</f>
        <v>0</v>
      </c>
      <c r="M15" s="19" t="s">
        <v>14</v>
      </c>
      <c r="N15" s="20">
        <f>VLOOKUP(M15,基本信息!$C$23:$D$28,2,FALSE)</f>
        <v>0</v>
      </c>
      <c r="O15" s="19" t="s">
        <v>14</v>
      </c>
      <c r="P15" s="20">
        <f>VLOOKUP(O15,基本信息!$C$23:$D$28,2,FALSE)</f>
        <v>0</v>
      </c>
      <c r="Q15" s="19" t="s">
        <v>83</v>
      </c>
      <c r="R15" s="20">
        <f>VLOOKUP(Q15,基本信息!$C$23:$D$28,2,FALSE)</f>
        <v>0.2</v>
      </c>
      <c r="S15" s="19" t="s">
        <v>83</v>
      </c>
      <c r="T15" s="20">
        <f>VLOOKUP(S15,基本信息!$C$23:$D$28,2,FALSE)</f>
        <v>0.2</v>
      </c>
      <c r="U15" s="19" t="s">
        <v>83</v>
      </c>
      <c r="V15" s="20">
        <f>VLOOKUP(U15,基本信息!$C$23:$D$28,2,FALSE)</f>
        <v>0.2</v>
      </c>
    </row>
    <row r="16" spans="1:23">
      <c r="B16" s="18">
        <f t="shared" si="0"/>
        <v>14</v>
      </c>
      <c r="C16" s="19" t="s">
        <v>80</v>
      </c>
      <c r="D16" s="19" t="s">
        <v>78</v>
      </c>
      <c r="E16" s="21">
        <v>9</v>
      </c>
      <c r="F16" s="19" t="s">
        <v>100</v>
      </c>
      <c r="G16" s="19" t="s">
        <v>14</v>
      </c>
      <c r="H16" s="20">
        <f>VLOOKUP(G16,基本信息!$C$23:$D$28,2,FALSE)</f>
        <v>0</v>
      </c>
      <c r="I16" s="19" t="s">
        <v>14</v>
      </c>
      <c r="J16" s="20">
        <f>VLOOKUP(I16,基本信息!$C$23:$D$28,2,FALSE)</f>
        <v>0</v>
      </c>
      <c r="K16" s="19" t="s">
        <v>14</v>
      </c>
      <c r="L16" s="20">
        <f>VLOOKUP(K16,基本信息!$C$23:$D$28,2,FALSE)</f>
        <v>0</v>
      </c>
      <c r="M16" s="19" t="s">
        <v>14</v>
      </c>
      <c r="N16" s="20">
        <f>VLOOKUP(M16,基本信息!$C$23:$D$28,2,FALSE)</f>
        <v>0</v>
      </c>
      <c r="O16" s="19" t="s">
        <v>14</v>
      </c>
      <c r="P16" s="20">
        <f>VLOOKUP(O16,基本信息!$C$23:$D$28,2,FALSE)</f>
        <v>0</v>
      </c>
      <c r="Q16" s="19" t="s">
        <v>83</v>
      </c>
      <c r="R16" s="20">
        <f>VLOOKUP(Q16,基本信息!$C$23:$D$28,2,FALSE)</f>
        <v>0.2</v>
      </c>
      <c r="S16" s="19" t="s">
        <v>83</v>
      </c>
      <c r="T16" s="20">
        <f>VLOOKUP(S16,基本信息!$C$23:$D$28,2,FALSE)</f>
        <v>0.2</v>
      </c>
      <c r="U16" s="19" t="s">
        <v>83</v>
      </c>
      <c r="V16" s="20">
        <f>VLOOKUP(U16,基本信息!$C$23:$D$28,2,FALSE)</f>
        <v>0.2</v>
      </c>
    </row>
    <row r="17" spans="2:23">
      <c r="B17" s="18">
        <f t="shared" si="0"/>
        <v>15</v>
      </c>
      <c r="C17" s="19" t="s">
        <v>81</v>
      </c>
      <c r="D17" s="19" t="s">
        <v>79</v>
      </c>
      <c r="E17" s="21">
        <v>5</v>
      </c>
      <c r="F17" s="19" t="s">
        <v>93</v>
      </c>
      <c r="G17" s="19" t="s">
        <v>14</v>
      </c>
      <c r="H17" s="20">
        <f>VLOOKUP(G17,基本信息!$C$23:$D$28,2,FALSE)</f>
        <v>0</v>
      </c>
      <c r="I17" s="19" t="s">
        <v>14</v>
      </c>
      <c r="J17" s="20">
        <f>VLOOKUP(I17,基本信息!$C$23:$D$28,2,FALSE)</f>
        <v>0</v>
      </c>
      <c r="K17" s="19" t="s">
        <v>14</v>
      </c>
      <c r="L17" s="20">
        <f>VLOOKUP(K17,基本信息!$C$23:$D$28,2,FALSE)</f>
        <v>0</v>
      </c>
      <c r="M17" s="19" t="s">
        <v>14</v>
      </c>
      <c r="N17" s="20">
        <f>VLOOKUP(M17,基本信息!$C$23:$D$28,2,FALSE)</f>
        <v>0</v>
      </c>
      <c r="O17" s="19" t="s">
        <v>14</v>
      </c>
      <c r="P17" s="20">
        <f>VLOOKUP(O17,基本信息!$C$23:$D$28,2,FALSE)</f>
        <v>0</v>
      </c>
      <c r="Q17" s="19" t="s">
        <v>6</v>
      </c>
      <c r="R17" s="20">
        <f>VLOOKUP(Q17,基本信息!$C$23:$D$28,2,FALSE)</f>
        <v>0.1</v>
      </c>
      <c r="S17" s="19" t="s">
        <v>6</v>
      </c>
      <c r="T17" s="20">
        <f>VLOOKUP(S17,基本信息!$C$23:$D$28,2,FALSE)</f>
        <v>0.1</v>
      </c>
      <c r="U17" s="19" t="s">
        <v>6</v>
      </c>
      <c r="V17" s="20">
        <f>VLOOKUP(U17,基本信息!$C$23:$D$28,2,FALSE)</f>
        <v>0.1</v>
      </c>
    </row>
    <row r="18" spans="2:23" s="2" customFormat="1" ht="17.25" thickBot="1">
      <c r="B18" s="23" t="s">
        <v>16</v>
      </c>
      <c r="C18" s="23"/>
      <c r="D18" s="16"/>
      <c r="E18" s="51">
        <f>SUM(E3:E17)</f>
        <v>90</v>
      </c>
      <c r="F18" s="16"/>
      <c r="G18" s="28">
        <f>SUMPRODUCT($E$3:$E$17*H3:H17)/$E$18</f>
        <v>0</v>
      </c>
      <c r="H18" s="17"/>
      <c r="I18" s="28">
        <f>SUMPRODUCT($E$3:$E$17*J3:J17)/$E$18</f>
        <v>5.6666666666666664E-2</v>
      </c>
      <c r="J18" s="17"/>
      <c r="K18" s="28">
        <f>SUMPRODUCT($E$3:$E$17*L3:L17)/$E$18</f>
        <v>0.1111111111111111</v>
      </c>
      <c r="L18" s="17"/>
      <c r="M18" s="28">
        <f>SUMPRODUCT($E$3:$E$17*N3:N17)/$E$18</f>
        <v>0.16222222222222221</v>
      </c>
      <c r="N18" s="17"/>
      <c r="O18" s="28">
        <f>SUMPRODUCT($E$3:$E$17*P3:P17)/$E$18</f>
        <v>0.20666666666666664</v>
      </c>
      <c r="P18" s="17"/>
      <c r="Q18" s="28">
        <f>SUMPRODUCT($E$3:$E$17*R3:R17)/$E$18</f>
        <v>0.19444444444444445</v>
      </c>
      <c r="R18" s="17"/>
      <c r="S18" s="28">
        <f>SUMPRODUCT($E$3:$E$17*T3:T17)/$E$18</f>
        <v>0.22555555555555556</v>
      </c>
      <c r="T18" s="17"/>
      <c r="U18" s="28">
        <f>SUMPRODUCT($E$3:$E$17*V3:V17)/$E$18</f>
        <v>0.2655555555555556</v>
      </c>
      <c r="V18" s="17"/>
      <c r="W18" s="3"/>
    </row>
    <row r="19" spans="2:23">
      <c r="B19" s="18" t="str">
        <f t="shared" ref="B19" si="1">IF(D19="","",ROW()-1)</f>
        <v/>
      </c>
    </row>
    <row r="20" spans="2:23">
      <c r="G20" s="6"/>
    </row>
  </sheetData>
  <dataConsolidate/>
  <phoneticPr fontId="20" type="noConversion"/>
  <conditionalFormatting sqref="G3:H17">
    <cfRule type="cellIs" dxfId="32" priority="55" stopIfTrue="1" operator="equal">
      <formula>"未开始"</formula>
    </cfRule>
    <cfRule type="cellIs" dxfId="31" priority="56" stopIfTrue="1" operator="equal">
      <formula>"已确认完成"</formula>
    </cfRule>
  </conditionalFormatting>
  <conditionalFormatting sqref="I3:J17">
    <cfRule type="cellIs" dxfId="30" priority="35" stopIfTrue="1" operator="equal">
      <formula>"未开始"</formula>
    </cfRule>
    <cfRule type="cellIs" dxfId="29" priority="36" stopIfTrue="1" operator="equal">
      <formula>"已确认完成"</formula>
    </cfRule>
  </conditionalFormatting>
  <conditionalFormatting sqref="O3:P17">
    <cfRule type="cellIs" dxfId="28" priority="19" stopIfTrue="1" operator="equal">
      <formula>"未开始"</formula>
    </cfRule>
    <cfRule type="cellIs" dxfId="27" priority="20" stopIfTrue="1" operator="equal">
      <formula>"已确认完成"</formula>
    </cfRule>
  </conditionalFormatting>
  <conditionalFormatting sqref="Q3:T17">
    <cfRule type="cellIs" dxfId="26" priority="17" stopIfTrue="1" operator="equal">
      <formula>"未开始"</formula>
    </cfRule>
    <cfRule type="cellIs" dxfId="25" priority="18" stopIfTrue="1" operator="equal">
      <formula>"已确认完成"</formula>
    </cfRule>
  </conditionalFormatting>
  <conditionalFormatting sqref="U3:V17">
    <cfRule type="cellIs" dxfId="24" priority="15" stopIfTrue="1" operator="equal">
      <formula>"未开始"</formula>
    </cfRule>
    <cfRule type="cellIs" dxfId="23" priority="16" stopIfTrue="1" operator="equal">
      <formula>"已确认完成"</formula>
    </cfRule>
  </conditionalFormatting>
  <conditionalFormatting sqref="K3:L17">
    <cfRule type="cellIs" dxfId="22" priority="13" stopIfTrue="1" operator="equal">
      <formula>"未开始"</formula>
    </cfRule>
    <cfRule type="cellIs" dxfId="21" priority="14" stopIfTrue="1" operator="equal">
      <formula>"已确认完成"</formula>
    </cfRule>
  </conditionalFormatting>
  <conditionalFormatting sqref="M3:N17">
    <cfRule type="cellIs" dxfId="20" priority="11" stopIfTrue="1" operator="equal">
      <formula>"未开始"</formula>
    </cfRule>
    <cfRule type="cellIs" dxfId="19" priority="12" stopIfTrue="1" operator="equal">
      <formula>"已确认完成"</formula>
    </cfRule>
  </conditionalFormatting>
  <conditionalFormatting sqref="I3:J17">
    <cfRule type="cellIs" dxfId="18" priority="9" stopIfTrue="1" operator="equal">
      <formula>"未开始"</formula>
    </cfRule>
    <cfRule type="cellIs" dxfId="17" priority="10" stopIfTrue="1" operator="equal">
      <formula>"已确认完成"</formula>
    </cfRule>
  </conditionalFormatting>
  <conditionalFormatting sqref="K3:L17">
    <cfRule type="cellIs" dxfId="16" priority="7" stopIfTrue="1" operator="equal">
      <formula>"未开始"</formula>
    </cfRule>
    <cfRule type="cellIs" dxfId="15" priority="8" stopIfTrue="1" operator="equal">
      <formula>"已确认完成"</formula>
    </cfRule>
  </conditionalFormatting>
  <conditionalFormatting sqref="Q3:R17">
    <cfRule type="cellIs" dxfId="14" priority="5" stopIfTrue="1" operator="equal">
      <formula>"未开始"</formula>
    </cfRule>
    <cfRule type="cellIs" dxfId="13" priority="6" stopIfTrue="1" operator="equal">
      <formula>"已确认完成"</formula>
    </cfRule>
  </conditionalFormatting>
  <conditionalFormatting sqref="M3:N17">
    <cfRule type="cellIs" dxfId="12" priority="3" stopIfTrue="1" operator="equal">
      <formula>"未开始"</formula>
    </cfRule>
    <cfRule type="cellIs" dxfId="11" priority="4" stopIfTrue="1" operator="equal">
      <formula>"已确认完成"</formula>
    </cfRule>
  </conditionalFormatting>
  <conditionalFormatting sqref="O3:P17">
    <cfRule type="cellIs" dxfId="10" priority="1" stopIfTrue="1" operator="equal">
      <formula>"未开始"</formula>
    </cfRule>
    <cfRule type="cellIs" dxfId="9" priority="2" stopIfTrue="1" operator="equal">
      <formula>"已确认完成"</formula>
    </cfRule>
  </conditionalFormatting>
  <pageMargins left="0.69930555555555596" right="0.69930555555555596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200-000000000000}">
          <x14:formula1>
            <xm:f>基本信息!$C$24:$C$28</xm:f>
          </x14:formula1>
          <xm:sqref>U3:U17 I3:I17 S3:S17 K3:K17 M3:M17 Q3:Q17 O3:O17 G3:G17</xm:sqref>
        </x14:dataValidation>
        <x14:dataValidation type="list" allowBlank="1" showInputMessage="1" showErrorMessage="1" xr:uid="{00000000-0002-0000-0200-000001000000}">
          <x14:formula1>
            <xm:f>进度分析!$B$3:$B$21</xm:f>
          </x14:formula1>
          <xm:sqref>G2 I2 K2 M2 O2 Q2 U2 S2</xm:sqref>
        </x14:dataValidation>
        <x14:dataValidation type="list" allowBlank="1" showInputMessage="1" showErrorMessage="1" xr:uid="{00000000-0002-0000-0200-000002000000}">
          <x14:formula1>
            <xm:f>基本信息!$C$16:$C$19</xm:f>
          </x14:formula1>
          <xm:sqref>C3:C17</xm:sqref>
        </x14:dataValidation>
        <x14:dataValidation type="list" allowBlank="1" showInputMessage="1" showErrorMessage="1" xr:uid="{00000000-0002-0000-0200-000003000000}">
          <x14:formula1>
            <xm:f>基本信息!$C$32:$C$36</xm:f>
          </x14:formula1>
          <xm:sqref>F3:F17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</sheetPr>
  <dimension ref="A1:L31"/>
  <sheetViews>
    <sheetView zoomScale="90" zoomScaleNormal="90" workbookViewId="0">
      <selection activeCell="S10" sqref="S10"/>
    </sheetView>
  </sheetViews>
  <sheetFormatPr defaultColWidth="9" defaultRowHeight="16.5"/>
  <cols>
    <col min="1" max="1" width="3.375" style="26" customWidth="1"/>
    <col min="2" max="2" width="8.375" style="26" customWidth="1"/>
    <col min="3" max="3" width="11.125" style="26" bestFit="1" customWidth="1"/>
    <col min="4" max="4" width="6.125" style="26" bestFit="1" customWidth="1"/>
    <col min="5" max="5" width="6" style="26" bestFit="1" customWidth="1"/>
    <col min="6" max="6" width="6.125" style="26" bestFit="1" customWidth="1"/>
    <col min="7" max="7" width="9.75" style="26" customWidth="1"/>
    <col min="8" max="8" width="12.125" style="26" customWidth="1"/>
    <col min="9" max="9" width="12.375" style="26" customWidth="1"/>
    <col min="10" max="10" width="12.25" style="26" customWidth="1"/>
    <col min="11" max="16384" width="9" style="26"/>
  </cols>
  <sheetData>
    <row r="1" spans="1:7" ht="24" customHeight="1" thickBot="1">
      <c r="B1" s="44" t="s">
        <v>101</v>
      </c>
    </row>
    <row r="2" spans="1:7" s="24" customFormat="1" ht="32.25" customHeight="1">
      <c r="A2" s="50">
        <f>ROW()</f>
        <v>2</v>
      </c>
      <c r="B2" s="29" t="s">
        <v>121</v>
      </c>
      <c r="C2" s="29" t="s">
        <v>21</v>
      </c>
      <c r="D2" s="29" t="s">
        <v>18</v>
      </c>
      <c r="E2" s="29" t="s">
        <v>17</v>
      </c>
      <c r="F2" s="30" t="s">
        <v>19</v>
      </c>
      <c r="G2" s="42" t="s">
        <v>82</v>
      </c>
    </row>
    <row r="3" spans="1:7" s="25" customFormat="1">
      <c r="B3" s="40">
        <f>IF(C3="","",ROW()-$A$2)</f>
        <v>1</v>
      </c>
      <c r="C3" s="52">
        <f>IF(基本信息!$C$7="","",基本信息!$C$7)</f>
        <v>42433</v>
      </c>
      <c r="D3" s="31">
        <v>0</v>
      </c>
      <c r="E3" s="31">
        <v>0</v>
      </c>
      <c r="F3" s="31">
        <f>IF(G3="","",G3/基本信息!$C$10)</f>
        <v>0</v>
      </c>
      <c r="G3" s="43">
        <v>0</v>
      </c>
    </row>
    <row r="4" spans="1:7">
      <c r="B4" s="40">
        <f>IF((ROW()-$A$2)&gt;基本信息!$C$12,"",ROW()-$A$2)</f>
        <v>2</v>
      </c>
      <c r="C4" s="52">
        <f>IF(B4="","",IF((C3+基本信息!$C$11)&gt;基本信息!$C$8,基本信息!$C$8,C3+基本信息!$C$11))</f>
        <v>42440</v>
      </c>
      <c r="D4" s="31">
        <f>(C4-$C$3)/基本信息!$C$9</f>
        <v>6.25E-2</v>
      </c>
      <c r="E4" s="31">
        <f>IF(ISNA(HLOOKUP(进度分析!$B4,进度跟踪!$G$2:$V$23,17,FALSE)),"",HLOOKUP(进度分析!$B4,进度跟踪!$G$2:$V$23,17,FALSE))</f>
        <v>5.6666666666666664E-2</v>
      </c>
      <c r="F4" s="31">
        <f>IF(G4="","",G4/基本信息!$C$10)</f>
        <v>2.976190476190476E-2</v>
      </c>
      <c r="G4" s="43">
        <v>5000</v>
      </c>
    </row>
    <row r="5" spans="1:7">
      <c r="B5" s="40">
        <f>IF((ROW()-$A$2)&gt;基本信息!$C$12,"",ROW()-$A$2)</f>
        <v>3</v>
      </c>
      <c r="C5" s="52">
        <f>IF(B5="","",IF((C4+基本信息!$C$11)&gt;基本信息!$C$8,基本信息!$C$8,C4+基本信息!$C$11))</f>
        <v>42447</v>
      </c>
      <c r="D5" s="31">
        <f>(C5-$C$3)/基本信息!$C$9</f>
        <v>0.125</v>
      </c>
      <c r="E5" s="31">
        <f>IF(ISNA(HLOOKUP(进度分析!$B5,进度跟踪!$G$2:$V$23,17,FALSE)),"",HLOOKUP(进度分析!$B5,进度跟踪!$G$2:$V$23,17,FALSE))</f>
        <v>0.1111111111111111</v>
      </c>
      <c r="F5" s="31">
        <f>IF(G5="","",G5/基本信息!$C$10)</f>
        <v>5.3571428571428568E-2</v>
      </c>
      <c r="G5" s="43">
        <v>9000</v>
      </c>
    </row>
    <row r="6" spans="1:7">
      <c r="B6" s="40">
        <f>IF((ROW()-$A$2)&gt;基本信息!$C$12,"",ROW()-$A$2)</f>
        <v>4</v>
      </c>
      <c r="C6" s="52">
        <f>IF(B6="","",IF((C5+基本信息!$C$11)&gt;基本信息!$C$8,基本信息!$C$8,C5+基本信息!$C$11))</f>
        <v>42454</v>
      </c>
      <c r="D6" s="31">
        <f>(C6-$C$3)/基本信息!$C$9</f>
        <v>0.1875</v>
      </c>
      <c r="E6" s="31">
        <f>IF(ISNA(HLOOKUP(进度分析!$B6,进度跟踪!$G$2:$V$23,17,FALSE)),"",HLOOKUP(进度分析!$B6,进度跟踪!$G$2:$V$23,17,FALSE))</f>
        <v>0.16222222222222221</v>
      </c>
      <c r="F6" s="31">
        <f>IF(G6="","",G6/基本信息!$C$10)</f>
        <v>8.3333333333333329E-2</v>
      </c>
      <c r="G6" s="43">
        <v>14000</v>
      </c>
    </row>
    <row r="7" spans="1:7">
      <c r="B7" s="40">
        <f>IF((ROW()-$A$2)&gt;基本信息!$C$12,"",ROW()-$A$2)</f>
        <v>5</v>
      </c>
      <c r="C7" s="52">
        <f>IF(B7="","",IF((C6+基本信息!$C$11)&gt;基本信息!$C$8,基本信息!$C$8,C6+基本信息!$C$11))</f>
        <v>42461</v>
      </c>
      <c r="D7" s="31">
        <f>(C7-$C$3)/基本信息!$C$9</f>
        <v>0.25</v>
      </c>
      <c r="E7" s="31">
        <f>IF(ISNA(HLOOKUP(进度分析!$B7,进度跟踪!$G$2:$V$23,17,FALSE)),"",HLOOKUP(进度分析!$B7,进度跟踪!$G$2:$V$23,17,FALSE))</f>
        <v>0.20666666666666664</v>
      </c>
      <c r="F7" s="31">
        <f>IF(G7="","",G7/基本信息!$C$10)</f>
        <v>0.10714285714285714</v>
      </c>
      <c r="G7" s="43">
        <v>18000</v>
      </c>
    </row>
    <row r="8" spans="1:7">
      <c r="B8" s="40">
        <f>IF((ROW()-$A$2)&gt;基本信息!$C$12,"",ROW()-$A$2)</f>
        <v>6</v>
      </c>
      <c r="C8" s="52">
        <f>IF(B8="","",IF((C7+基本信息!$C$11)&gt;基本信息!$C$8,基本信息!$C$8,C7+基本信息!$C$11))</f>
        <v>42468</v>
      </c>
      <c r="D8" s="31">
        <f>(C8-$C$3)/基本信息!$C$9</f>
        <v>0.3125</v>
      </c>
      <c r="E8" s="31">
        <f>IF(ISNA(HLOOKUP(进度分析!$B8,进度跟踪!$G$2:$V$23,17,FALSE)),"",HLOOKUP(进度分析!$B8,进度跟踪!$G$2:$V$23,17,FALSE))</f>
        <v>0.19444444444444445</v>
      </c>
      <c r="F8" s="31">
        <f>IF(G8="","",G8/基本信息!$C$10)</f>
        <v>0.1130952380952381</v>
      </c>
      <c r="G8" s="43">
        <v>19000</v>
      </c>
    </row>
    <row r="9" spans="1:7">
      <c r="B9" s="40">
        <f>IF((ROW()-$A$2)&gt;基本信息!$C$12,"",ROW()-$A$2)</f>
        <v>7</v>
      </c>
      <c r="C9" s="52">
        <f>IF(B9="","",IF((C8+基本信息!$C$11)&gt;基本信息!$C$8,基本信息!$C$8,C8+基本信息!$C$11))</f>
        <v>42475</v>
      </c>
      <c r="D9" s="31">
        <f>(C9-$C$3)/基本信息!$C$9</f>
        <v>0.375</v>
      </c>
      <c r="E9" s="31">
        <f>IF(ISNA(HLOOKUP(进度分析!$B9,进度跟踪!$G$2:$V$23,17,FALSE)),"",HLOOKUP(进度分析!$B9,进度跟踪!$G$2:$V$23,17,FALSE))</f>
        <v>0.22555555555555556</v>
      </c>
      <c r="F9" s="31">
        <f>IF(G9="","",G9/基本信息!$C$10)</f>
        <v>0.13095238095238096</v>
      </c>
      <c r="G9" s="43">
        <v>22000</v>
      </c>
    </row>
    <row r="10" spans="1:7">
      <c r="B10" s="40">
        <f>IF((ROW()-$A$2)&gt;基本信息!$C$12,"",ROW()-$A$2)</f>
        <v>8</v>
      </c>
      <c r="C10" s="52">
        <f>IF(B10="","",IF((C9+基本信息!$C$11)&gt;基本信息!$C$8,基本信息!$C$8,C9+基本信息!$C$11))</f>
        <v>42482</v>
      </c>
      <c r="D10" s="31">
        <f>(C10-$C$3)/基本信息!$C$9</f>
        <v>0.4375</v>
      </c>
      <c r="E10" s="31">
        <f>IF(ISNA(HLOOKUP(进度分析!$B10,进度跟踪!$G$2:$V$23,17,FALSE)),"",HLOOKUP(进度分析!$B10,进度跟踪!$G$2:$V$23,17,FALSE))</f>
        <v>0.2655555555555556</v>
      </c>
      <c r="F10" s="31">
        <f>IF(G10="","",G10/基本信息!$C$10)</f>
        <v>0.14880952380952381</v>
      </c>
      <c r="G10" s="43">
        <v>25000</v>
      </c>
    </row>
    <row r="11" spans="1:7">
      <c r="B11" s="40">
        <f>IF((ROW()-$A$2)&gt;基本信息!$C$12,"",ROW()-$A$2)</f>
        <v>9</v>
      </c>
      <c r="C11" s="52">
        <f>IF(B11="","",IF((C10+基本信息!$C$11)&gt;基本信息!$C$8,基本信息!$C$8,C10+基本信息!$C$11))</f>
        <v>42489</v>
      </c>
      <c r="D11" s="31">
        <f>(C11-$C$3)/基本信息!$C$9</f>
        <v>0.5</v>
      </c>
      <c r="E11" s="31"/>
      <c r="F11" s="31"/>
      <c r="G11" s="43"/>
    </row>
    <row r="12" spans="1:7">
      <c r="B12" s="40">
        <f>IF((ROW()-$A$2)&gt;基本信息!$C$12,"",ROW()-$A$2)</f>
        <v>10</v>
      </c>
      <c r="C12" s="52">
        <f>IF(B12="","",IF((C11+基本信息!$C$11)&gt;基本信息!$C$8,基本信息!$C$8,C11+基本信息!$C$11))</f>
        <v>42496</v>
      </c>
      <c r="D12" s="31">
        <f>(C12-$C$3)/基本信息!$C$9</f>
        <v>0.5625</v>
      </c>
      <c r="E12" s="31"/>
      <c r="F12" s="31"/>
      <c r="G12" s="43"/>
    </row>
    <row r="13" spans="1:7">
      <c r="B13" s="40">
        <f>IF((ROW()-$A$2)&gt;基本信息!$C$12,"",ROW()-$A$2)</f>
        <v>11</v>
      </c>
      <c r="C13" s="52">
        <f>IF(B13="","",IF((C12+基本信息!$C$11)&gt;基本信息!$C$8,基本信息!$C$8,C12+基本信息!$C$11))</f>
        <v>42503</v>
      </c>
      <c r="D13" s="31">
        <f>(C13-$C$3)/基本信息!$C$9</f>
        <v>0.625</v>
      </c>
      <c r="E13" s="31"/>
      <c r="F13" s="31"/>
      <c r="G13" s="43"/>
    </row>
    <row r="14" spans="1:7">
      <c r="B14" s="40">
        <f>IF((ROW()-$A$2)&gt;基本信息!$C$12,"",ROW()-$A$2)</f>
        <v>12</v>
      </c>
      <c r="C14" s="52">
        <f>IF(B14="","",IF((C13+基本信息!$C$11)&gt;基本信息!$C$8,基本信息!$C$8,C13+基本信息!$C$11))</f>
        <v>42510</v>
      </c>
      <c r="D14" s="31">
        <f>(C14-$C$3)/基本信息!$C$9</f>
        <v>0.6875</v>
      </c>
      <c r="E14" s="31"/>
      <c r="F14" s="31"/>
      <c r="G14" s="43"/>
    </row>
    <row r="15" spans="1:7">
      <c r="B15" s="40">
        <f>IF((ROW()-$A$2)&gt;基本信息!$C$12,"",ROW()-$A$2)</f>
        <v>13</v>
      </c>
      <c r="C15" s="52">
        <f>IF(B15="","",IF((C14+基本信息!$C$11)&gt;基本信息!$C$8,基本信息!$C$8,C14+基本信息!$C$11))</f>
        <v>42517</v>
      </c>
      <c r="D15" s="31">
        <f>(C15-$C$3)/基本信息!$C$9</f>
        <v>0.75</v>
      </c>
      <c r="E15" s="31"/>
      <c r="F15" s="31"/>
      <c r="G15" s="43"/>
    </row>
    <row r="16" spans="1:7">
      <c r="B16" s="40">
        <f>IF((ROW()-$A$2)&gt;基本信息!$C$12,"",ROW()-$A$2)</f>
        <v>14</v>
      </c>
      <c r="C16" s="52">
        <f>IF(B16="","",IF((C15+基本信息!$C$11)&gt;基本信息!$C$8,基本信息!$C$8,C15+基本信息!$C$11))</f>
        <v>42524</v>
      </c>
      <c r="D16" s="31">
        <f>(C16-$C$3)/基本信息!$C$9</f>
        <v>0.8125</v>
      </c>
      <c r="E16" s="31"/>
      <c r="F16" s="31"/>
      <c r="G16" s="43"/>
    </row>
    <row r="17" spans="2:12">
      <c r="B17" s="40">
        <f>IF((ROW()-$A$2)&gt;基本信息!$C$12,"",ROW()-$A$2)</f>
        <v>15</v>
      </c>
      <c r="C17" s="52">
        <f>IF(B17="","",IF((C16+基本信息!$C$11)&gt;基本信息!$C$8,基本信息!$C$8,C16+基本信息!$C$11))</f>
        <v>42531</v>
      </c>
      <c r="D17" s="31">
        <f>(C17-$C$3)/基本信息!$C$9</f>
        <v>0.875</v>
      </c>
      <c r="E17" s="31"/>
      <c r="F17" s="31"/>
      <c r="G17" s="43"/>
    </row>
    <row r="18" spans="2:12">
      <c r="B18" s="40">
        <f>IF((ROW()-$A$2)&gt;基本信息!$C$12,"",ROW()-$A$2)</f>
        <v>16</v>
      </c>
      <c r="C18" s="52">
        <f>IF(B18="","",IF((C17+基本信息!$C$11)&gt;基本信息!$C$8,基本信息!$C$8,C17+基本信息!$C$11))</f>
        <v>42538</v>
      </c>
      <c r="D18" s="31">
        <f>(C18-$C$3)/基本信息!$C$9</f>
        <v>0.9375</v>
      </c>
      <c r="E18" s="31"/>
      <c r="F18" s="31"/>
      <c r="G18" s="43"/>
    </row>
    <row r="19" spans="2:12" s="27" customFormat="1">
      <c r="B19" s="40">
        <f>IF((ROW()-$A$2)&gt;基本信息!$C$12,"",ROW()-$A$2)</f>
        <v>17</v>
      </c>
      <c r="C19" s="52">
        <f>IF(B19="","",IF((C18+基本信息!$C$11)&gt;基本信息!$C$8,基本信息!$C$8,C18+基本信息!$C$11))</f>
        <v>42545</v>
      </c>
      <c r="D19" s="31">
        <f>(C19-$C$3)/基本信息!$C$9</f>
        <v>1</v>
      </c>
      <c r="E19" s="31"/>
      <c r="F19" s="31"/>
      <c r="G19" s="43"/>
    </row>
    <row r="20" spans="2:12">
      <c r="B20" s="93" t="s">
        <v>120</v>
      </c>
      <c r="C20" s="94"/>
      <c r="D20" s="94"/>
      <c r="E20" s="94"/>
      <c r="F20" s="94"/>
      <c r="G20" s="95"/>
    </row>
    <row r="22" spans="2:12" ht="21">
      <c r="I22" s="57" t="s">
        <v>127</v>
      </c>
    </row>
    <row r="23" spans="2:12" ht="17.25" thickBot="1">
      <c r="I23" s="6" t="str">
        <f>基本信息!B2</f>
        <v>项目管理实践书籍编制项目</v>
      </c>
    </row>
    <row r="24" spans="2:12">
      <c r="I24" s="29" t="s">
        <v>121</v>
      </c>
      <c r="J24" s="29" t="s">
        <v>18</v>
      </c>
      <c r="K24" s="29" t="s">
        <v>17</v>
      </c>
      <c r="L24" s="30" t="s">
        <v>19</v>
      </c>
    </row>
    <row r="25" spans="2:12" ht="17.25" thickBot="1">
      <c r="I25" s="40" t="str">
        <f>"第"&amp;TEXT(MATCH(MAX(E3:E20),E3:E20,0),"00")&amp;"周"</f>
        <v>第08周</v>
      </c>
      <c r="J25" s="31">
        <f>INDEX(D3:F20,MATCH(MAX(E3:E20),E3:E20,0),1)</f>
        <v>0.4375</v>
      </c>
      <c r="K25" s="31">
        <f>INDEX(D3:F20,MATCH(MAX(E3:E20),E3:E20,0),2)</f>
        <v>0.2655555555555556</v>
      </c>
      <c r="L25" s="31">
        <f>INDEX(D3:F20,MATCH(MAX(E3:E20),E3:E20,0),3)</f>
        <v>0.14880952380952381</v>
      </c>
    </row>
    <row r="26" spans="2:12">
      <c r="I26" s="29" t="s">
        <v>122</v>
      </c>
      <c r="J26" s="29" t="s">
        <v>123</v>
      </c>
      <c r="K26" s="29" t="s">
        <v>142</v>
      </c>
    </row>
    <row r="27" spans="2:12">
      <c r="I27" s="40" t="s">
        <v>124</v>
      </c>
      <c r="J27" s="40" t="str">
        <f>IF(K25&gt;J25,"提前",IF(K25&lt;J25,"延迟","正常"))</f>
        <v>延迟</v>
      </c>
      <c r="K27" s="31">
        <f>K25-J25</f>
        <v>-0.1719444444444444</v>
      </c>
    </row>
    <row r="28" spans="2:12">
      <c r="I28" s="40" t="s">
        <v>125</v>
      </c>
      <c r="J28" s="40" t="str">
        <f>IF(K25&gt;L25,"结余",IF(K25&lt;L25,"超支","正常"))</f>
        <v>结余</v>
      </c>
      <c r="K28" s="31">
        <f>K25-L25</f>
        <v>0.11674603174603179</v>
      </c>
    </row>
    <row r="29" spans="2:12" ht="17.25" thickBot="1">
      <c r="I29" s="56" t="s">
        <v>126</v>
      </c>
      <c r="J29" s="55" t="str">
        <f>IF(AND(J27="延迟",J28="超支"),"报警",IF(OR(J27="延迟",J28="超支"),"预警","正常"))</f>
        <v>预警</v>
      </c>
    </row>
    <row r="30" spans="2:12">
      <c r="I30" s="29" t="s">
        <v>128</v>
      </c>
    </row>
    <row r="31" spans="2:12">
      <c r="I31" s="54" t="str">
        <f>I23&amp;" "&amp;I25&amp;" "&amp;I27&amp;J27&amp;" "&amp;I28&amp;J28&amp;" "&amp;I29&amp;J29</f>
        <v>项目管理实践书籍编制项目 第08周 进度延迟 成本结余 项目预警</v>
      </c>
    </row>
  </sheetData>
  <sheetProtection selectLockedCells="1"/>
  <mergeCells count="1">
    <mergeCell ref="B20:G20"/>
  </mergeCells>
  <phoneticPr fontId="21" type="noConversion"/>
  <conditionalFormatting sqref="J27">
    <cfRule type="cellIs" dxfId="8" priority="8" stopIfTrue="1" operator="equal">
      <formula>"正常"</formula>
    </cfRule>
    <cfRule type="cellIs" dxfId="7" priority="9" stopIfTrue="1" operator="equal">
      <formula>"提前"</formula>
    </cfRule>
    <cfRule type="cellIs" dxfId="6" priority="10" stopIfTrue="1" operator="equal">
      <formula>"延迟"</formula>
    </cfRule>
  </conditionalFormatting>
  <conditionalFormatting sqref="J28">
    <cfRule type="cellIs" dxfId="5" priority="4" stopIfTrue="1" operator="equal">
      <formula>"正常"</formula>
    </cfRule>
    <cfRule type="cellIs" dxfId="4" priority="5" stopIfTrue="1" operator="equal">
      <formula>"结余"</formula>
    </cfRule>
    <cfRule type="cellIs" dxfId="3" priority="7" stopIfTrue="1" operator="equal">
      <formula>"超支"</formula>
    </cfRule>
  </conditionalFormatting>
  <conditionalFormatting sqref="J29">
    <cfRule type="cellIs" dxfId="2" priority="1" stopIfTrue="1" operator="equal">
      <formula>"正常"</formula>
    </cfRule>
    <cfRule type="cellIs" dxfId="1" priority="2" stopIfTrue="1" operator="equal">
      <formula>"预警"</formula>
    </cfRule>
    <cfRule type="cellIs" dxfId="0" priority="3" stopIfTrue="1" operator="equal">
      <formula>"报警"</formula>
    </cfRule>
  </conditionalFormatting>
  <pageMargins left="0.69930555555555596" right="0.69930555555555596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C000"/>
    <outlinePr summaryBelow="0" summaryRight="0"/>
    <pageSetUpPr fitToPage="1"/>
  </sheetPr>
  <dimension ref="B1:H61"/>
  <sheetViews>
    <sheetView zoomScaleNormal="100" workbookViewId="0">
      <selection activeCell="B2" sqref="B2"/>
    </sheetView>
  </sheetViews>
  <sheetFormatPr defaultRowHeight="16.5" outlineLevelRow="3"/>
  <cols>
    <col min="1" max="1" width="3.5" style="66" customWidth="1"/>
    <col min="2" max="2" width="5.25" style="66" customWidth="1"/>
    <col min="3" max="3" width="3.25" style="66" customWidth="1"/>
    <col min="4" max="16384" width="9" style="66"/>
  </cols>
  <sheetData>
    <row r="1" spans="2:3" ht="21">
      <c r="B1" s="65" t="s">
        <v>201</v>
      </c>
    </row>
    <row r="2" spans="2:3" outlineLevel="1"/>
    <row r="4" spans="2:3">
      <c r="B4" s="67" t="s">
        <v>84</v>
      </c>
    </row>
    <row r="5" spans="2:3" outlineLevel="1">
      <c r="C5" s="66" t="s">
        <v>202</v>
      </c>
    </row>
    <row r="6" spans="2:3" outlineLevel="1"/>
    <row r="7" spans="2:3">
      <c r="B7" s="67" t="s">
        <v>85</v>
      </c>
    </row>
    <row r="8" spans="2:3" outlineLevel="1">
      <c r="C8" s="66" t="s">
        <v>143</v>
      </c>
    </row>
    <row r="9" spans="2:3" outlineLevel="1">
      <c r="C9" s="66" t="s">
        <v>144</v>
      </c>
    </row>
    <row r="10" spans="2:3" outlineLevel="1">
      <c r="C10" s="66" t="s">
        <v>145</v>
      </c>
    </row>
    <row r="11" spans="2:3" outlineLevel="1">
      <c r="C11" s="66" t="s">
        <v>154</v>
      </c>
    </row>
    <row r="12" spans="2:3" outlineLevel="1"/>
    <row r="13" spans="2:3">
      <c r="B13" s="67" t="s">
        <v>129</v>
      </c>
    </row>
    <row r="14" spans="2:3" outlineLevel="1">
      <c r="C14" s="66" t="s">
        <v>155</v>
      </c>
    </row>
    <row r="15" spans="2:3" outlineLevel="1">
      <c r="C15" s="66" t="s">
        <v>156</v>
      </c>
    </row>
    <row r="16" spans="2:3" outlineLevel="1">
      <c r="C16" s="66" t="s">
        <v>157</v>
      </c>
    </row>
    <row r="17" spans="2:4" outlineLevel="1">
      <c r="C17" s="66" t="s">
        <v>158</v>
      </c>
    </row>
    <row r="18" spans="2:4" outlineLevel="1"/>
    <row r="19" spans="2:4">
      <c r="B19" s="67" t="s">
        <v>130</v>
      </c>
    </row>
    <row r="20" spans="2:4" outlineLevel="1" collapsed="1">
      <c r="C20" s="68" t="s">
        <v>62</v>
      </c>
    </row>
    <row r="21" spans="2:4" hidden="1" outlineLevel="2">
      <c r="D21" s="66" t="s">
        <v>86</v>
      </c>
    </row>
    <row r="22" spans="2:4" outlineLevel="1" collapsed="1">
      <c r="C22" s="68" t="s">
        <v>63</v>
      </c>
    </row>
    <row r="23" spans="2:4" hidden="1" outlineLevel="2">
      <c r="D23" s="66" t="s">
        <v>159</v>
      </c>
    </row>
    <row r="24" spans="2:4" ht="71.25" hidden="1" customHeight="1" outlineLevel="3"/>
    <row r="25" spans="2:4" hidden="1" outlineLevel="2">
      <c r="D25" s="66" t="s">
        <v>146</v>
      </c>
    </row>
    <row r="26" spans="2:4" ht="162.75" hidden="1" customHeight="1" outlineLevel="3"/>
    <row r="27" spans="2:4" hidden="1" outlineLevel="2">
      <c r="D27" s="66" t="s">
        <v>160</v>
      </c>
    </row>
    <row r="28" spans="2:4" ht="237.75" hidden="1" customHeight="1" outlineLevel="3"/>
    <row r="29" spans="2:4" hidden="1" outlineLevel="2">
      <c r="D29" s="66" t="s">
        <v>147</v>
      </c>
    </row>
    <row r="30" spans="2:4" ht="128.25" hidden="1" customHeight="1" outlineLevel="3"/>
    <row r="31" spans="2:4" hidden="1" outlineLevel="2">
      <c r="D31" s="66" t="s">
        <v>148</v>
      </c>
    </row>
    <row r="32" spans="2:4" ht="291.75" hidden="1" customHeight="1" outlineLevel="3"/>
    <row r="33" spans="2:4" hidden="1" outlineLevel="2">
      <c r="D33" s="66" t="s">
        <v>149</v>
      </c>
    </row>
    <row r="34" spans="2:4" ht="254.25" hidden="1" customHeight="1" outlineLevel="3"/>
    <row r="35" spans="2:4" outlineLevel="1" collapsed="1">
      <c r="C35" s="68" t="s">
        <v>87</v>
      </c>
    </row>
    <row r="36" spans="2:4" hidden="1" outlineLevel="2">
      <c r="D36" s="66" t="s">
        <v>150</v>
      </c>
    </row>
    <row r="37" spans="2:4" ht="159" hidden="1" customHeight="1" outlineLevel="3"/>
    <row r="38" spans="2:4" hidden="1" outlineLevel="2" collapsed="1">
      <c r="D38" s="66" t="s">
        <v>161</v>
      </c>
    </row>
    <row r="39" spans="2:4" outlineLevel="1"/>
    <row r="40" spans="2:4">
      <c r="B40" s="67" t="s">
        <v>131</v>
      </c>
    </row>
    <row r="41" spans="2:4" outlineLevel="1" collapsed="1">
      <c r="C41" s="68" t="s">
        <v>88</v>
      </c>
    </row>
    <row r="42" spans="2:4" hidden="1" outlineLevel="2">
      <c r="D42" s="66" t="s">
        <v>89</v>
      </c>
    </row>
    <row r="43" spans="2:4" hidden="1" outlineLevel="2">
      <c r="D43" s="66" t="s">
        <v>90</v>
      </c>
    </row>
    <row r="44" spans="2:4" outlineLevel="1" collapsed="1">
      <c r="C44" s="68" t="s">
        <v>91</v>
      </c>
    </row>
    <row r="45" spans="2:4" hidden="1" outlineLevel="2">
      <c r="D45" s="66" t="s">
        <v>200</v>
      </c>
    </row>
    <row r="46" spans="2:4" ht="277.5" hidden="1" customHeight="1" outlineLevel="3"/>
    <row r="47" spans="2:4" hidden="1" outlineLevel="2">
      <c r="D47" s="66" t="s">
        <v>162</v>
      </c>
    </row>
    <row r="48" spans="2:4" ht="183.75" hidden="1" customHeight="1" outlineLevel="3"/>
    <row r="49" spans="3:8" hidden="1" outlineLevel="2">
      <c r="D49" s="66" t="s">
        <v>151</v>
      </c>
    </row>
    <row r="50" spans="3:8" ht="216.75" hidden="1" customHeight="1" outlineLevel="3"/>
    <row r="51" spans="3:8" hidden="1" outlineLevel="2">
      <c r="D51" s="66" t="s">
        <v>152</v>
      </c>
    </row>
    <row r="52" spans="3:8" ht="276.75" hidden="1" customHeight="1" outlineLevel="3"/>
    <row r="53" spans="3:8" outlineLevel="1" collapsed="1">
      <c r="C53" s="68" t="s">
        <v>92</v>
      </c>
    </row>
    <row r="54" spans="3:8" hidden="1" outlineLevel="2">
      <c r="D54" s="66" t="s">
        <v>153</v>
      </c>
    </row>
    <row r="55" spans="3:8" hidden="1" outlineLevel="3">
      <c r="D55" s="35" t="s">
        <v>141</v>
      </c>
      <c r="E55" s="6"/>
      <c r="F55" s="6"/>
      <c r="G55" s="6"/>
      <c r="H55" s="6"/>
    </row>
    <row r="56" spans="3:8" hidden="1" outlineLevel="3">
      <c r="D56" s="96" t="s">
        <v>103</v>
      </c>
      <c r="E56" s="96"/>
      <c r="F56" s="96" t="s">
        <v>104</v>
      </c>
      <c r="G56" s="96"/>
      <c r="H56" s="96"/>
    </row>
    <row r="57" spans="3:8" hidden="1" outlineLevel="3">
      <c r="D57" s="96"/>
      <c r="E57" s="96"/>
      <c r="F57" s="72" t="s">
        <v>105</v>
      </c>
      <c r="G57" s="72" t="s">
        <v>118</v>
      </c>
      <c r="H57" s="72" t="s">
        <v>106</v>
      </c>
    </row>
    <row r="58" spans="3:8" ht="33" hidden="1" outlineLevel="3">
      <c r="D58" s="97" t="s">
        <v>107</v>
      </c>
      <c r="E58" s="72" t="s">
        <v>108</v>
      </c>
      <c r="F58" s="69" t="s">
        <v>112</v>
      </c>
      <c r="G58" s="69" t="s">
        <v>113</v>
      </c>
      <c r="H58" s="71" t="s">
        <v>111</v>
      </c>
    </row>
    <row r="59" spans="3:8" ht="33" hidden="1" outlineLevel="3">
      <c r="D59" s="97"/>
      <c r="E59" s="72" t="s">
        <v>110</v>
      </c>
      <c r="F59" s="69" t="s">
        <v>114</v>
      </c>
      <c r="G59" s="69" t="s">
        <v>115</v>
      </c>
      <c r="H59" s="71" t="s">
        <v>116</v>
      </c>
    </row>
    <row r="60" spans="3:8" ht="33" hidden="1" outlineLevel="3">
      <c r="D60" s="97"/>
      <c r="E60" s="72" t="s">
        <v>109</v>
      </c>
      <c r="F60" s="71" t="s">
        <v>163</v>
      </c>
      <c r="G60" s="71" t="s">
        <v>164</v>
      </c>
      <c r="H60" s="70" t="s">
        <v>117</v>
      </c>
    </row>
    <row r="61" spans="3:8" hidden="1" outlineLevel="2"/>
  </sheetData>
  <mergeCells count="3">
    <mergeCell ref="D56:E57"/>
    <mergeCell ref="F56:H56"/>
    <mergeCell ref="D58:D60"/>
  </mergeCells>
  <phoneticPr fontId="20" type="noConversion"/>
  <pageMargins left="0.23622047244094491" right="0.23622047244094491" top="0.74803149606299213" bottom="0.74803149606299213" header="0.31496062992125984" footer="0.31496062992125984"/>
  <pageSetup paperSize="9" scale="99" fitToHeight="0" orientation="landscape" horizontalDpi="1200" verticalDpi="1200" r:id="rId1"/>
  <headerFooter>
    <oddHeader>&amp;L飞泉项目管理&amp;R项目进度数据分析模板</oddHeader>
    <oddFooter>&amp;LQQ群：飞泉-进度数据分析群 119585563&amp;C第 &amp;P 页，共 7 页&amp;R微信号：飞泉项目管理咨询</oddFooter>
  </headerFooter>
  <rowBreaks count="5" manualBreakCount="5">
    <brk id="24" max="16383" man="1"/>
    <brk id="28" max="16383" man="1"/>
    <brk id="32" max="16383" man="1"/>
    <brk id="46" max="16383" man="1"/>
    <brk id="50" max="16383" man="1"/>
  </rowBreaks>
  <colBreaks count="1" manualBreakCount="1">
    <brk id="2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修订记录</vt:lpstr>
      <vt:lpstr>基本信息</vt:lpstr>
      <vt:lpstr>进度跟踪</vt:lpstr>
      <vt:lpstr>进度分析</vt:lpstr>
      <vt:lpstr>操作手册</vt:lpstr>
    </vt:vector>
  </TitlesOfParts>
  <Company>飞泉项目管理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项目进度数据分析模板</dc:title>
  <dc:subject>项目管理</dc:subject>
  <dc:creator>xinquan;杨泉</dc:creator>
  <cp:keywords/>
  <dc:description>杨泉
yq_work@163.com</dc:description>
  <cp:lastModifiedBy>yangquan</cp:lastModifiedBy>
  <cp:lastPrinted>2016-05-14T14:38:42Z</cp:lastPrinted>
  <dcterms:created xsi:type="dcterms:W3CDTF">2006-09-13T11:21:00Z</dcterms:created>
  <dcterms:modified xsi:type="dcterms:W3CDTF">2020-04-16T13:26:11Z</dcterms:modified>
  <cp:category>项目管理</cp:category>
  <cp:contentStatus>V1.0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or">
    <vt:lpwstr>徐晶</vt:lpwstr>
  </property>
  <property fmtid="{D5CDD505-2E9C-101B-9397-08002B2CF9AE}" pid="3" name="Telephone number">
    <vt:lpwstr>13811632571</vt:lpwstr>
  </property>
  <property fmtid="{D5CDD505-2E9C-101B-9397-08002B2CF9AE}" pid="4" name="KSOProductBuildVer">
    <vt:lpwstr>2052-10.1.0.5603</vt:lpwstr>
  </property>
</Properties>
</file>